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FORMULA RATES SPP\Annual Update Transmission Rates AEP West SPP OpCos and Transcos\True Ups\2022 Annual Update\Transco_OKTCo_SWTCo\Filed Documents 5-27-22\"/>
    </mc:Choice>
  </mc:AlternateContent>
  <xr:revisionPtr revIDLastSave="0" documentId="13_ncr:1_{BAC9B650-0211-4BEF-9CDB-E81658531D36}" xr6:coauthVersionLast="47" xr6:coauthVersionMax="47" xr10:uidLastSave="{00000000-0000-0000-0000-000000000000}"/>
  <bookViews>
    <workbookView xWindow="-120" yWindow="-120" windowWidth="24240" windowHeight="13140" tabRatio="834" xr2:uid="{00000000-000D-0000-FFFF-FFFF00000000}"/>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8" r:id="rId21"/>
    <sheet name="OKT.019" sheetId="37" r:id="rId22"/>
    <sheet name="OKT.020" sheetId="39" r:id="rId23"/>
    <sheet name="OKT.xyz - blank" sheetId="13" r:id="rId24"/>
  </sheets>
  <externalReferences>
    <externalReference r:id="rId25"/>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'OKT.Sch.11.Rates'!$A$1:$T$41</definedName>
    <definedName name="_xlnm.Print_Area" localSheetId="1">'OKT.WS.F.BPU.ATRR.Projected'!$A$1:$O$89</definedName>
    <definedName name="_xlnm.Print_Area" localSheetId="2">'OKT.WS.G.BPU.ATRR.True-up'!$A$1:$P$96</definedName>
    <definedName name="_xlnm.Print_Area" localSheetId="23">'OKT.xyz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3">'OKT.xyz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1" i="27" l="1"/>
  <c r="L101" i="27"/>
  <c r="M101" i="27" s="1"/>
  <c r="N102" i="37" l="1"/>
  <c r="L102" i="37"/>
  <c r="M102" i="37" s="1"/>
  <c r="N102" i="38"/>
  <c r="L102" i="38"/>
  <c r="M102" i="38" s="1"/>
  <c r="N103" i="35"/>
  <c r="L103" i="35"/>
  <c r="M103" i="35" s="1"/>
  <c r="N103" i="34"/>
  <c r="L103" i="34"/>
  <c r="M103" i="34" s="1"/>
  <c r="N103" i="31"/>
  <c r="L103" i="31"/>
  <c r="M103" i="31" s="1"/>
  <c r="N104" i="29"/>
  <c r="L104" i="29"/>
  <c r="M104" i="29" s="1"/>
  <c r="N106" i="27"/>
  <c r="L106" i="27"/>
  <c r="M106" i="27" s="1"/>
  <c r="N106" i="26"/>
  <c r="L106" i="26"/>
  <c r="M106" i="26" s="1"/>
  <c r="N107" i="24"/>
  <c r="L107" i="24"/>
  <c r="M107" i="24" s="1"/>
  <c r="N105" i="25"/>
  <c r="L105" i="25"/>
  <c r="M105" i="25" s="1"/>
  <c r="N106" i="23"/>
  <c r="L106" i="23"/>
  <c r="M106" i="23" s="1"/>
  <c r="N106" i="22"/>
  <c r="L106" i="22"/>
  <c r="M106" i="22" s="1"/>
  <c r="N107" i="21"/>
  <c r="L107" i="21"/>
  <c r="M107" i="21" s="1"/>
  <c r="N109" i="19"/>
  <c r="L109" i="19"/>
  <c r="M109" i="19" s="1"/>
  <c r="N109" i="18"/>
  <c r="L109" i="18"/>
  <c r="M109" i="18" s="1"/>
  <c r="N110" i="4"/>
  <c r="L110" i="4"/>
  <c r="M110" i="4" s="1"/>
  <c r="N110" i="3"/>
  <c r="L110" i="3"/>
  <c r="M110" i="3" s="1"/>
  <c r="M18" i="39"/>
  <c r="K18" i="39"/>
  <c r="L18" i="39" s="1"/>
  <c r="M20" i="37"/>
  <c r="K20" i="37"/>
  <c r="L20" i="37" s="1"/>
  <c r="M20" i="38"/>
  <c r="K20" i="38"/>
  <c r="L20" i="38" s="1"/>
  <c r="M21" i="35"/>
  <c r="K21" i="35"/>
  <c r="L21" i="35" s="1"/>
  <c r="M21" i="34"/>
  <c r="K21" i="34"/>
  <c r="L21" i="34" s="1"/>
  <c r="M21" i="31"/>
  <c r="K21" i="31"/>
  <c r="L21" i="31" s="1"/>
  <c r="M22" i="29"/>
  <c r="K22" i="29"/>
  <c r="L22" i="29" s="1"/>
  <c r="M24" i="27"/>
  <c r="K24" i="27"/>
  <c r="L24" i="27" s="1"/>
  <c r="M24" i="26"/>
  <c r="K24" i="26"/>
  <c r="L24" i="26" s="1"/>
  <c r="M25" i="24"/>
  <c r="K25" i="24"/>
  <c r="L25" i="24" s="1"/>
  <c r="M23" i="25"/>
  <c r="K23" i="25"/>
  <c r="L23" i="25" s="1"/>
  <c r="M24" i="23"/>
  <c r="K24" i="23"/>
  <c r="L24" i="23" s="1"/>
  <c r="M24" i="22"/>
  <c r="K24" i="22"/>
  <c r="L24" i="22" s="1"/>
  <c r="M25" i="21"/>
  <c r="K25" i="21"/>
  <c r="L25" i="21" s="1"/>
  <c r="M27" i="19"/>
  <c r="K27" i="19"/>
  <c r="L27" i="19" s="1"/>
  <c r="M27" i="18"/>
  <c r="K27" i="18"/>
  <c r="L27" i="18" s="1"/>
  <c r="M28" i="4"/>
  <c r="K28" i="4"/>
  <c r="L28" i="4" s="1"/>
  <c r="M28" i="3"/>
  <c r="K28" i="3"/>
  <c r="L28" i="3" s="1"/>
  <c r="D103" i="37" l="1"/>
  <c r="D104" i="34"/>
  <c r="T14" i="17" l="1"/>
  <c r="N101" i="38" l="1"/>
  <c r="L101" i="38"/>
  <c r="M101" i="38" s="1"/>
  <c r="M19" i="38"/>
  <c r="K19" i="38"/>
  <c r="L19" i="38" s="1"/>
  <c r="M19" i="37"/>
  <c r="K19" i="37"/>
  <c r="L19" i="37" s="1"/>
  <c r="M18" i="38"/>
  <c r="K18" i="38"/>
  <c r="L18" i="38" s="1"/>
  <c r="M20" i="31"/>
  <c r="K20" i="31"/>
  <c r="L20" i="31" s="1"/>
  <c r="M21" i="29"/>
  <c r="K21" i="29"/>
  <c r="L21" i="29" s="1"/>
  <c r="L23" i="28"/>
  <c r="L24" i="28"/>
  <c r="M22" i="28"/>
  <c r="K22" i="28"/>
  <c r="L22" i="28" s="1"/>
  <c r="M24" i="24"/>
  <c r="K24" i="24"/>
  <c r="L24" i="24" s="1"/>
  <c r="M22" i="25"/>
  <c r="K22" i="25"/>
  <c r="L22" i="25" s="1"/>
  <c r="M23" i="23"/>
  <c r="K23" i="23"/>
  <c r="L23" i="23" s="1"/>
  <c r="M23" i="22"/>
  <c r="K23" i="22"/>
  <c r="L23" i="22" s="1"/>
  <c r="M24" i="21"/>
  <c r="K24" i="21"/>
  <c r="L24" i="21" s="1"/>
  <c r="M26" i="19"/>
  <c r="K26" i="19"/>
  <c r="L26" i="19" s="1"/>
  <c r="M26" i="18"/>
  <c r="K26" i="18"/>
  <c r="L26" i="18" s="1"/>
  <c r="O110" i="4"/>
  <c r="I17" i="39" l="1"/>
  <c r="N101" i="37" l="1"/>
  <c r="L101" i="37"/>
  <c r="M101" i="37" s="1"/>
  <c r="N102" i="35"/>
  <c r="L102" i="35"/>
  <c r="M102" i="35" s="1"/>
  <c r="N102" i="34"/>
  <c r="L102" i="34"/>
  <c r="M102" i="34" s="1"/>
  <c r="N102" i="31"/>
  <c r="L102" i="31"/>
  <c r="M102" i="31" s="1"/>
  <c r="N103" i="29"/>
  <c r="O103" i="29" s="1"/>
  <c r="L103" i="29"/>
  <c r="M103" i="29" s="1"/>
  <c r="N102" i="29"/>
  <c r="O102" i="29" s="1"/>
  <c r="L102" i="29"/>
  <c r="M102" i="29" s="1"/>
  <c r="N106" i="28"/>
  <c r="L106" i="28"/>
  <c r="M106" i="28" s="1"/>
  <c r="P102" i="29" l="1"/>
  <c r="P103" i="29"/>
  <c r="N105" i="26"/>
  <c r="L105" i="26"/>
  <c r="M105" i="26" s="1"/>
  <c r="N106" i="24"/>
  <c r="O106" i="24" s="1"/>
  <c r="L106" i="24"/>
  <c r="M106" i="24" s="1"/>
  <c r="N104" i="25"/>
  <c r="L104" i="25"/>
  <c r="M104" i="25" s="1"/>
  <c r="N105" i="23"/>
  <c r="O105" i="23" s="1"/>
  <c r="L105" i="23"/>
  <c r="M105" i="23" s="1"/>
  <c r="N105" i="22"/>
  <c r="O105" i="22" s="1"/>
  <c r="L105" i="22"/>
  <c r="M105" i="22" s="1"/>
  <c r="N106" i="21"/>
  <c r="L106" i="21"/>
  <c r="M106" i="21" s="1"/>
  <c r="N108" i="19"/>
  <c r="L108" i="19"/>
  <c r="M108" i="19" s="1"/>
  <c r="N108" i="18"/>
  <c r="L108" i="18"/>
  <c r="M108" i="18" s="1"/>
  <c r="N109" i="4"/>
  <c r="O109" i="4" s="1"/>
  <c r="L109" i="4"/>
  <c r="M109" i="4" s="1"/>
  <c r="N109" i="3"/>
  <c r="L109" i="3"/>
  <c r="M109" i="3" s="1"/>
  <c r="P155" i="39" l="1"/>
  <c r="O155" i="39"/>
  <c r="M155" i="39"/>
  <c r="J155" i="39"/>
  <c r="P154" i="39"/>
  <c r="O154" i="39"/>
  <c r="M154" i="39"/>
  <c r="J154" i="39"/>
  <c r="P153" i="39"/>
  <c r="O153" i="39"/>
  <c r="M153" i="39"/>
  <c r="J153" i="39"/>
  <c r="P152" i="39"/>
  <c r="O152" i="39"/>
  <c r="M152" i="39"/>
  <c r="J152" i="39"/>
  <c r="P151" i="39"/>
  <c r="O151" i="39"/>
  <c r="M151" i="39"/>
  <c r="J151" i="39"/>
  <c r="P150" i="39"/>
  <c r="O150" i="39"/>
  <c r="M150" i="39"/>
  <c r="J150" i="39"/>
  <c r="P149" i="39"/>
  <c r="O149" i="39"/>
  <c r="M149" i="39"/>
  <c r="J149" i="39"/>
  <c r="P148" i="39"/>
  <c r="O148" i="39"/>
  <c r="M148" i="39"/>
  <c r="J148" i="39"/>
  <c r="P147" i="39"/>
  <c r="O147" i="39"/>
  <c r="M147" i="39"/>
  <c r="J147" i="39"/>
  <c r="P146" i="39"/>
  <c r="O146" i="39"/>
  <c r="M146" i="39"/>
  <c r="J146" i="39"/>
  <c r="P145" i="39"/>
  <c r="O145" i="39"/>
  <c r="M145" i="39"/>
  <c r="J145" i="39"/>
  <c r="P144" i="39"/>
  <c r="O144" i="39"/>
  <c r="M144" i="39"/>
  <c r="J144" i="39"/>
  <c r="P143" i="39"/>
  <c r="O143" i="39"/>
  <c r="M143" i="39"/>
  <c r="J143" i="39"/>
  <c r="P142" i="39"/>
  <c r="O142" i="39"/>
  <c r="M142" i="39"/>
  <c r="J142" i="39"/>
  <c r="P141" i="39"/>
  <c r="O141" i="39"/>
  <c r="M141" i="39"/>
  <c r="J141" i="39"/>
  <c r="P140" i="39"/>
  <c r="O140" i="39"/>
  <c r="M140" i="39"/>
  <c r="J140" i="39"/>
  <c r="P139" i="39"/>
  <c r="O139" i="39"/>
  <c r="M139" i="39"/>
  <c r="J139" i="39"/>
  <c r="P138" i="39"/>
  <c r="O138" i="39"/>
  <c r="M138" i="39"/>
  <c r="J138" i="39"/>
  <c r="P137" i="39"/>
  <c r="O137" i="39"/>
  <c r="M137" i="39"/>
  <c r="J137" i="39"/>
  <c r="P136" i="39"/>
  <c r="O136" i="39"/>
  <c r="M136" i="39"/>
  <c r="J136" i="39"/>
  <c r="P135" i="39"/>
  <c r="O135" i="39"/>
  <c r="M135" i="39"/>
  <c r="J135" i="39"/>
  <c r="P134" i="39"/>
  <c r="O134" i="39"/>
  <c r="M134" i="39"/>
  <c r="J134" i="39"/>
  <c r="P133" i="39"/>
  <c r="O133" i="39"/>
  <c r="M133" i="39"/>
  <c r="J133" i="39"/>
  <c r="P132" i="39"/>
  <c r="O132" i="39"/>
  <c r="M132" i="39"/>
  <c r="J132" i="39"/>
  <c r="O131" i="39"/>
  <c r="M131" i="39"/>
  <c r="O130" i="39"/>
  <c r="M130" i="39"/>
  <c r="O129" i="39"/>
  <c r="M129" i="39"/>
  <c r="O128" i="39"/>
  <c r="M128" i="39"/>
  <c r="O127" i="39"/>
  <c r="M127" i="39"/>
  <c r="O126" i="39"/>
  <c r="M126" i="39"/>
  <c r="O125" i="39"/>
  <c r="M125" i="39"/>
  <c r="O124" i="39"/>
  <c r="M124" i="39"/>
  <c r="O123" i="39"/>
  <c r="M123" i="39"/>
  <c r="O122" i="39"/>
  <c r="M122" i="39"/>
  <c r="O121" i="39"/>
  <c r="M121" i="39"/>
  <c r="O120" i="39"/>
  <c r="M120" i="39"/>
  <c r="O119" i="39"/>
  <c r="M119" i="39"/>
  <c r="O118" i="39"/>
  <c r="M118" i="39"/>
  <c r="O117" i="39"/>
  <c r="M117" i="39"/>
  <c r="O116" i="39"/>
  <c r="M116" i="39"/>
  <c r="O115" i="39"/>
  <c r="M115" i="39"/>
  <c r="O114" i="39"/>
  <c r="M114" i="39"/>
  <c r="O113" i="39"/>
  <c r="M113" i="39"/>
  <c r="O112" i="39"/>
  <c r="M112" i="39"/>
  <c r="O111" i="39"/>
  <c r="M111" i="39"/>
  <c r="O110" i="39"/>
  <c r="M110" i="39"/>
  <c r="O109" i="39"/>
  <c r="M109" i="39"/>
  <c r="O108" i="39"/>
  <c r="M108" i="39"/>
  <c r="O107" i="39"/>
  <c r="M107" i="39"/>
  <c r="O106" i="39"/>
  <c r="M106" i="39"/>
  <c r="O105" i="39"/>
  <c r="M105" i="39"/>
  <c r="O104" i="39"/>
  <c r="M104" i="39"/>
  <c r="O103" i="39"/>
  <c r="M103" i="39"/>
  <c r="O102" i="39"/>
  <c r="M102" i="39"/>
  <c r="O101" i="39"/>
  <c r="M101" i="39"/>
  <c r="D97" i="39"/>
  <c r="D95" i="39"/>
  <c r="L94" i="39"/>
  <c r="J94" i="39"/>
  <c r="D94" i="39"/>
  <c r="J93" i="39"/>
  <c r="L87" i="39" s="1"/>
  <c r="D92" i="39"/>
  <c r="D91" i="39"/>
  <c r="D90" i="39"/>
  <c r="N73" i="39"/>
  <c r="L73" i="39"/>
  <c r="N72" i="39"/>
  <c r="L72" i="39"/>
  <c r="N71" i="39"/>
  <c r="L71" i="39"/>
  <c r="N70" i="39"/>
  <c r="L70" i="39"/>
  <c r="N69" i="39"/>
  <c r="L69" i="39"/>
  <c r="N68" i="39"/>
  <c r="L68" i="39"/>
  <c r="N67" i="39"/>
  <c r="L67" i="39"/>
  <c r="N66" i="39"/>
  <c r="L66" i="39"/>
  <c r="N65" i="39"/>
  <c r="L65" i="39"/>
  <c r="N64" i="39"/>
  <c r="L64" i="39"/>
  <c r="N63" i="39"/>
  <c r="L63" i="39"/>
  <c r="N62" i="39"/>
  <c r="L62" i="39"/>
  <c r="N61" i="39"/>
  <c r="L61" i="39"/>
  <c r="N60" i="39"/>
  <c r="L60" i="39"/>
  <c r="N59" i="39"/>
  <c r="L59" i="39"/>
  <c r="N58" i="39"/>
  <c r="L58" i="39"/>
  <c r="N57" i="39"/>
  <c r="L57" i="39"/>
  <c r="N56" i="39"/>
  <c r="L56" i="39"/>
  <c r="N55" i="39"/>
  <c r="L55" i="39"/>
  <c r="N54" i="39"/>
  <c r="L54" i="39"/>
  <c r="N53" i="39"/>
  <c r="L53" i="39"/>
  <c r="N52" i="39"/>
  <c r="L52" i="39"/>
  <c r="N51" i="39"/>
  <c r="L51" i="39"/>
  <c r="N50" i="39"/>
  <c r="L50" i="39"/>
  <c r="N49" i="39"/>
  <c r="L49" i="39"/>
  <c r="N48" i="39"/>
  <c r="L48" i="39"/>
  <c r="N47" i="39"/>
  <c r="L47" i="39"/>
  <c r="N46" i="39"/>
  <c r="L46" i="39"/>
  <c r="N45" i="39"/>
  <c r="L45" i="39"/>
  <c r="N44" i="39"/>
  <c r="L44" i="39"/>
  <c r="N43" i="39"/>
  <c r="L43" i="39"/>
  <c r="N42" i="39"/>
  <c r="L42" i="39"/>
  <c r="N41" i="39"/>
  <c r="L41" i="39"/>
  <c r="N40" i="39"/>
  <c r="L40" i="39"/>
  <c r="N39" i="39"/>
  <c r="L39" i="39"/>
  <c r="N38" i="39"/>
  <c r="L38" i="39"/>
  <c r="N37" i="39"/>
  <c r="L37" i="39"/>
  <c r="N36" i="39"/>
  <c r="L36" i="39"/>
  <c r="N35" i="39"/>
  <c r="L35" i="39"/>
  <c r="N34" i="39"/>
  <c r="L34" i="39"/>
  <c r="N33" i="39"/>
  <c r="L33" i="39"/>
  <c r="N32" i="39"/>
  <c r="L32" i="39"/>
  <c r="N31" i="39"/>
  <c r="L31" i="39"/>
  <c r="N30" i="39"/>
  <c r="L30" i="39"/>
  <c r="N29" i="39"/>
  <c r="L29" i="39"/>
  <c r="N28" i="39"/>
  <c r="L28" i="39"/>
  <c r="N27" i="39"/>
  <c r="L27" i="39"/>
  <c r="N26" i="39"/>
  <c r="L26" i="39"/>
  <c r="N25" i="39"/>
  <c r="L25" i="39"/>
  <c r="N24" i="39"/>
  <c r="L24" i="39"/>
  <c r="N23" i="39"/>
  <c r="L23" i="39"/>
  <c r="N22" i="39"/>
  <c r="L22" i="39"/>
  <c r="N21" i="39"/>
  <c r="L21" i="39"/>
  <c r="N20" i="39"/>
  <c r="L20" i="39"/>
  <c r="N19" i="39"/>
  <c r="L19" i="39"/>
  <c r="N18" i="39"/>
  <c r="B18" i="39"/>
  <c r="M17" i="39"/>
  <c r="N17" i="39" s="1"/>
  <c r="K17" i="39"/>
  <c r="L17" i="39" s="1"/>
  <c r="C17" i="39"/>
  <c r="C18" i="39" s="1"/>
  <c r="C19" i="39" s="1"/>
  <c r="C20" i="39" s="1"/>
  <c r="C21" i="39" s="1"/>
  <c r="C22" i="39" s="1"/>
  <c r="C23" i="39" s="1"/>
  <c r="C24" i="39" s="1"/>
  <c r="C25" i="39" s="1"/>
  <c r="C26" i="39" s="1"/>
  <c r="C27" i="39" s="1"/>
  <c r="C28" i="39" s="1"/>
  <c r="C29" i="39" s="1"/>
  <c r="C30" i="39" s="1"/>
  <c r="C31" i="39" s="1"/>
  <c r="C32" i="39" s="1"/>
  <c r="C33" i="39" s="1"/>
  <c r="C34" i="39" s="1"/>
  <c r="C35" i="39" s="1"/>
  <c r="C36" i="39" s="1"/>
  <c r="C37" i="39" s="1"/>
  <c r="C38" i="39" s="1"/>
  <c r="C39" i="39" s="1"/>
  <c r="C40" i="39" s="1"/>
  <c r="C41" i="39" s="1"/>
  <c r="C42" i="39" s="1"/>
  <c r="C43" i="39" s="1"/>
  <c r="C44" i="39" s="1"/>
  <c r="C45" i="39" s="1"/>
  <c r="B17" i="39"/>
  <c r="K11" i="39"/>
  <c r="I11" i="39"/>
  <c r="I10" i="39"/>
  <c r="P1" i="39"/>
  <c r="P84" i="39" s="1"/>
  <c r="P103" i="39" l="1"/>
  <c r="P109" i="39"/>
  <c r="O19" i="39"/>
  <c r="O21" i="39"/>
  <c r="O37" i="39"/>
  <c r="O53" i="39"/>
  <c r="O69" i="39"/>
  <c r="O26" i="39"/>
  <c r="O28" i="39"/>
  <c r="O30" i="39"/>
  <c r="O32" i="39"/>
  <c r="O42" i="39"/>
  <c r="O44" i="39"/>
  <c r="O46" i="39"/>
  <c r="O48" i="39"/>
  <c r="O17" i="39"/>
  <c r="O33" i="39"/>
  <c r="O49" i="39"/>
  <c r="O23" i="39"/>
  <c r="O25" i="39"/>
  <c r="O29" i="39"/>
  <c r="O35" i="39"/>
  <c r="O58" i="39"/>
  <c r="O60" i="39"/>
  <c r="O62" i="39"/>
  <c r="O64" i="39"/>
  <c r="O39" i="39"/>
  <c r="O41" i="39"/>
  <c r="O45" i="39"/>
  <c r="O72" i="39"/>
  <c r="O55" i="39"/>
  <c r="O57" i="39"/>
  <c r="O61" i="39"/>
  <c r="O65" i="39"/>
  <c r="P104" i="39"/>
  <c r="P106" i="39"/>
  <c r="P116" i="39"/>
  <c r="O18" i="39"/>
  <c r="O36" i="39"/>
  <c r="O43" i="39"/>
  <c r="O50" i="39"/>
  <c r="O66" i="39"/>
  <c r="O68" i="39"/>
  <c r="O73" i="39"/>
  <c r="O22" i="39"/>
  <c r="O24" i="39"/>
  <c r="O31" i="39"/>
  <c r="O38" i="39"/>
  <c r="O40" i="39"/>
  <c r="O47" i="39"/>
  <c r="O56" i="39"/>
  <c r="O63" i="39"/>
  <c r="O70" i="39"/>
  <c r="O20" i="39"/>
  <c r="O27" i="39"/>
  <c r="O34" i="39"/>
  <c r="O52" i="39"/>
  <c r="P128" i="39"/>
  <c r="P112" i="39"/>
  <c r="P126" i="39"/>
  <c r="P102" i="39"/>
  <c r="P107" i="39"/>
  <c r="P113" i="39"/>
  <c r="P115" i="39"/>
  <c r="P110" i="39"/>
  <c r="P119" i="39"/>
  <c r="P101" i="39"/>
  <c r="P114" i="39"/>
  <c r="P117" i="39"/>
  <c r="P111" i="39"/>
  <c r="P118" i="39"/>
  <c r="P123" i="39"/>
  <c r="P127" i="39"/>
  <c r="P129" i="39"/>
  <c r="P131" i="39"/>
  <c r="P105" i="39"/>
  <c r="P108" i="39"/>
  <c r="P130" i="39"/>
  <c r="N88" i="39"/>
  <c r="M88" i="39"/>
  <c r="N5" i="39"/>
  <c r="N6" i="39"/>
  <c r="C46" i="39"/>
  <c r="C47" i="39" s="1"/>
  <c r="C48" i="39" s="1"/>
  <c r="C49" i="39" s="1"/>
  <c r="C50" i="39" s="1"/>
  <c r="C51" i="39" s="1"/>
  <c r="C52" i="39" s="1"/>
  <c r="C53" i="39" s="1"/>
  <c r="C54" i="39" s="1"/>
  <c r="C55" i="39" s="1"/>
  <c r="C56" i="39" s="1"/>
  <c r="C57" i="39" s="1"/>
  <c r="C58" i="39" s="1"/>
  <c r="C59" i="39" s="1"/>
  <c r="C60" i="39" s="1"/>
  <c r="C61" i="39" s="1"/>
  <c r="C62" i="39" s="1"/>
  <c r="C63" i="39" s="1"/>
  <c r="C64" i="39" s="1"/>
  <c r="C65" i="39" s="1"/>
  <c r="C66" i="39" s="1"/>
  <c r="C67" i="39" s="1"/>
  <c r="C68" i="39" s="1"/>
  <c r="C69" i="39" s="1"/>
  <c r="C70" i="39" s="1"/>
  <c r="C71" i="39" s="1"/>
  <c r="C72" i="39" s="1"/>
  <c r="O67" i="39"/>
  <c r="O51" i="39"/>
  <c r="O54" i="39"/>
  <c r="O71" i="39"/>
  <c r="O59" i="39"/>
  <c r="C100" i="39"/>
  <c r="B100" i="39"/>
  <c r="C101" i="39"/>
  <c r="C102" i="39" s="1"/>
  <c r="C103" i="39" s="1"/>
  <c r="C104" i="39" s="1"/>
  <c r="C105" i="39" s="1"/>
  <c r="C106" i="39" s="1"/>
  <c r="C107" i="39" s="1"/>
  <c r="C108" i="39" s="1"/>
  <c r="C109" i="39" s="1"/>
  <c r="C110" i="39" s="1"/>
  <c r="C111" i="39" s="1"/>
  <c r="C112" i="39" s="1"/>
  <c r="C113" i="39" s="1"/>
  <c r="C114" i="39" s="1"/>
  <c r="C115" i="39" s="1"/>
  <c r="C116" i="39" s="1"/>
  <c r="C117" i="39" s="1"/>
  <c r="C118" i="39" s="1"/>
  <c r="C119" i="39" s="1"/>
  <c r="C120" i="39" s="1"/>
  <c r="C121" i="39" s="1"/>
  <c r="C122" i="39" s="1"/>
  <c r="C123" i="39" s="1"/>
  <c r="C124" i="39" s="1"/>
  <c r="C125" i="39" s="1"/>
  <c r="C126" i="39" s="1"/>
  <c r="C127" i="39" s="1"/>
  <c r="P120" i="39"/>
  <c r="P124" i="39"/>
  <c r="P121" i="39"/>
  <c r="P125" i="39"/>
  <c r="P122" i="39"/>
  <c r="O88" i="39" l="1"/>
  <c r="N7" i="39"/>
  <c r="C128" i="39"/>
  <c r="C129" i="39" s="1"/>
  <c r="C130" i="39" s="1"/>
  <c r="C131" i="39" s="1"/>
  <c r="C132" i="39" s="1"/>
  <c r="C133" i="39" s="1"/>
  <c r="C134" i="39" s="1"/>
  <c r="C135" i="39" s="1"/>
  <c r="C136" i="39" s="1"/>
  <c r="C137" i="39" s="1"/>
  <c r="C138" i="39" s="1"/>
  <c r="C139" i="39" s="1"/>
  <c r="C140" i="39" s="1"/>
  <c r="C141" i="39" s="1"/>
  <c r="C142" i="39" s="1"/>
  <c r="C143" i="39" s="1"/>
  <c r="C144" i="39" s="1"/>
  <c r="C145" i="39" s="1"/>
  <c r="C146" i="39" s="1"/>
  <c r="C147" i="39" s="1"/>
  <c r="C148" i="39" s="1"/>
  <c r="C149" i="39" s="1"/>
  <c r="C150" i="39" s="1"/>
  <c r="C151" i="39" s="1"/>
  <c r="C152" i="39" s="1"/>
  <c r="C153" i="39" s="1"/>
  <c r="C154" i="39" s="1"/>
  <c r="C155" i="39" s="1"/>
  <c r="O101" i="37" l="1"/>
  <c r="O102" i="37"/>
  <c r="K26" i="3" l="1"/>
  <c r="L26" i="3" s="1"/>
  <c r="M22" i="22"/>
  <c r="N22" i="22" s="1"/>
  <c r="M22" i="23"/>
  <c r="N22" i="23" s="1"/>
  <c r="K23" i="27"/>
  <c r="L23" i="27" s="1"/>
  <c r="M23" i="27"/>
  <c r="N23" i="27" s="1"/>
  <c r="N101" i="35"/>
  <c r="O101" i="35" s="1"/>
  <c r="L101" i="35"/>
  <c r="M101" i="35" s="1"/>
  <c r="N101" i="34"/>
  <c r="O101" i="34" s="1"/>
  <c r="L101" i="34"/>
  <c r="M101" i="34" s="1"/>
  <c r="N101" i="31"/>
  <c r="O101" i="31" s="1"/>
  <c r="L101" i="31"/>
  <c r="M101" i="31" s="1"/>
  <c r="N101" i="29"/>
  <c r="O101" i="29" s="1"/>
  <c r="M101" i="29"/>
  <c r="L101" i="29"/>
  <c r="N105" i="28"/>
  <c r="O105" i="28" s="1"/>
  <c r="L105" i="28"/>
  <c r="M105" i="28" s="1"/>
  <c r="N105" i="27"/>
  <c r="O105" i="27" s="1"/>
  <c r="L105" i="27"/>
  <c r="M105" i="27" s="1"/>
  <c r="N104" i="26"/>
  <c r="O104" i="26" s="1"/>
  <c r="M104" i="26"/>
  <c r="L104" i="26"/>
  <c r="N105" i="24"/>
  <c r="O105" i="24" s="1"/>
  <c r="L105" i="24"/>
  <c r="M105" i="24" s="1"/>
  <c r="N103" i="25"/>
  <c r="O103" i="25" s="1"/>
  <c r="L103" i="25"/>
  <c r="M103" i="25" s="1"/>
  <c r="N104" i="23"/>
  <c r="O104" i="23" s="1"/>
  <c r="L104" i="23"/>
  <c r="M104" i="23" s="1"/>
  <c r="N104" i="22"/>
  <c r="O104" i="22" s="1"/>
  <c r="M104" i="22"/>
  <c r="L104" i="22"/>
  <c r="N105" i="21"/>
  <c r="O105" i="21" s="1"/>
  <c r="L105" i="21"/>
  <c r="M105" i="21" s="1"/>
  <c r="N107" i="19"/>
  <c r="O107" i="19" s="1"/>
  <c r="L107" i="19"/>
  <c r="M107" i="19" s="1"/>
  <c r="N107" i="18"/>
  <c r="O107" i="18" s="1"/>
  <c r="L107" i="18"/>
  <c r="M107" i="18" s="1"/>
  <c r="N108" i="4"/>
  <c r="O108" i="4" s="1"/>
  <c r="L108" i="4"/>
  <c r="M108" i="4" s="1"/>
  <c r="O108" i="3"/>
  <c r="P108" i="3" s="1"/>
  <c r="N108" i="3"/>
  <c r="L108" i="3"/>
  <c r="M108" i="3" s="1"/>
  <c r="P104" i="23" l="1"/>
  <c r="P101" i="31"/>
  <c r="P104" i="22"/>
  <c r="P104" i="26"/>
  <c r="P105" i="24"/>
  <c r="P105" i="28"/>
  <c r="P101" i="35"/>
  <c r="P107" i="19"/>
  <c r="P103" i="25"/>
  <c r="P101" i="34"/>
  <c r="P105" i="27"/>
  <c r="O23" i="27"/>
  <c r="P105" i="21"/>
  <c r="P101" i="29"/>
  <c r="P102" i="37"/>
  <c r="M26" i="3"/>
  <c r="N26" i="3" s="1"/>
  <c r="O26" i="3" s="1"/>
  <c r="M26" i="4"/>
  <c r="N26" i="4" s="1"/>
  <c r="M25" i="18"/>
  <c r="N25" i="18" s="1"/>
  <c r="M25" i="19"/>
  <c r="N25" i="19" s="1"/>
  <c r="M23" i="21"/>
  <c r="N23" i="21" s="1"/>
  <c r="K22" i="22"/>
  <c r="L22" i="22" s="1"/>
  <c r="O22" i="22" s="1"/>
  <c r="K22" i="23"/>
  <c r="L22" i="23" s="1"/>
  <c r="O22" i="23" s="1"/>
  <c r="M23" i="24"/>
  <c r="N23" i="24" s="1"/>
  <c r="M22" i="26"/>
  <c r="N22" i="26" s="1"/>
  <c r="K22" i="26"/>
  <c r="L22" i="26" s="1"/>
  <c r="M20" i="29"/>
  <c r="N20" i="29" s="1"/>
  <c r="K20" i="29"/>
  <c r="L20" i="29" s="1"/>
  <c r="M19" i="31"/>
  <c r="N19" i="31" s="1"/>
  <c r="K19" i="31"/>
  <c r="L19" i="31" s="1"/>
  <c r="M19" i="34"/>
  <c r="N19" i="34" s="1"/>
  <c r="M19" i="35"/>
  <c r="N19" i="35" s="1"/>
  <c r="M21" i="25"/>
  <c r="N21" i="25" s="1"/>
  <c r="P107" i="18"/>
  <c r="P108" i="4"/>
  <c r="O19" i="31" l="1"/>
  <c r="O22" i="26"/>
  <c r="K26" i="4"/>
  <c r="L26" i="4" s="1"/>
  <c r="O26" i="4" s="1"/>
  <c r="K25" i="18"/>
  <c r="L25" i="18" s="1"/>
  <c r="O25" i="18" s="1"/>
  <c r="K25" i="19"/>
  <c r="L25" i="19" s="1"/>
  <c r="O25" i="19" s="1"/>
  <c r="K23" i="21"/>
  <c r="L23" i="21" s="1"/>
  <c r="O23" i="21" s="1"/>
  <c r="K23" i="24"/>
  <c r="L23" i="24" s="1"/>
  <c r="O23" i="24" s="1"/>
  <c r="O20" i="29"/>
  <c r="K19" i="34"/>
  <c r="L19" i="34" s="1"/>
  <c r="O19" i="34" s="1"/>
  <c r="K19" i="35"/>
  <c r="L19" i="35" s="1"/>
  <c r="O19" i="35" s="1"/>
  <c r="K21" i="25"/>
  <c r="L21" i="25" s="1"/>
  <c r="O21" i="25" s="1"/>
  <c r="M17" i="38" l="1"/>
  <c r="K17" i="38"/>
  <c r="M18" i="37"/>
  <c r="K18" i="37"/>
  <c r="L18" i="37" s="1"/>
  <c r="I46" i="17"/>
  <c r="F12" i="1" l="1"/>
  <c r="D46" i="17"/>
  <c r="W36" i="17" l="1"/>
  <c r="D36" i="17"/>
  <c r="F58" i="2" l="1"/>
  <c r="C58" i="2"/>
  <c r="E34" i="2"/>
  <c r="C34" i="2"/>
  <c r="F81" i="2" l="1"/>
  <c r="J95" i="39" s="1"/>
  <c r="J96" i="39" s="1"/>
  <c r="C81" i="2"/>
  <c r="F75" i="2"/>
  <c r="C75" i="2"/>
  <c r="F47" i="2"/>
  <c r="F46" i="2"/>
  <c r="F45" i="2"/>
  <c r="F44" i="2"/>
  <c r="C47" i="2"/>
  <c r="C46" i="2"/>
  <c r="C45" i="2"/>
  <c r="C44" i="2"/>
  <c r="F48" i="2" l="1"/>
  <c r="L22" i="17"/>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4" i="38"/>
  <c r="M104" i="38"/>
  <c r="O103" i="38"/>
  <c r="M103" i="38"/>
  <c r="O102" i="38"/>
  <c r="O101" i="38"/>
  <c r="D97" i="38"/>
  <c r="D95" i="38"/>
  <c r="L94" i="38"/>
  <c r="J94" i="38"/>
  <c r="D94" i="38"/>
  <c r="C100" i="38" s="1"/>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L22" i="38"/>
  <c r="N21" i="38"/>
  <c r="L21" i="38"/>
  <c r="N20" i="38"/>
  <c r="N19" i="38"/>
  <c r="N18" i="38"/>
  <c r="N17" i="38"/>
  <c r="L17" i="38"/>
  <c r="C17" i="38"/>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K17" i="37"/>
  <c r="L17" i="37" s="1"/>
  <c r="N100" i="35"/>
  <c r="L100" i="35"/>
  <c r="M18" i="35"/>
  <c r="N18" i="35" s="1"/>
  <c r="K18" i="35"/>
  <c r="L18" i="35" s="1"/>
  <c r="N100" i="34"/>
  <c r="L100" i="34"/>
  <c r="M100" i="34" s="1"/>
  <c r="M18" i="34"/>
  <c r="N18" i="34" s="1"/>
  <c r="K18" i="34"/>
  <c r="N100" i="31"/>
  <c r="L100" i="31"/>
  <c r="M18" i="31"/>
  <c r="N18" i="31" s="1"/>
  <c r="K18" i="31"/>
  <c r="L18" i="31" s="1"/>
  <c r="N100" i="29"/>
  <c r="L100" i="29"/>
  <c r="M100" i="29" s="1"/>
  <c r="M19" i="29"/>
  <c r="N19" i="29" s="1"/>
  <c r="K19" i="29"/>
  <c r="L19" i="29" s="1"/>
  <c r="N104" i="28"/>
  <c r="O104" i="28" s="1"/>
  <c r="L104" i="28"/>
  <c r="M104" i="28" s="1"/>
  <c r="N22" i="28"/>
  <c r="N104" i="27"/>
  <c r="O104" i="27" s="1"/>
  <c r="L104" i="27"/>
  <c r="M104" i="27" s="1"/>
  <c r="M22" i="27"/>
  <c r="N22" i="27" s="1"/>
  <c r="K22" i="27"/>
  <c r="L22" i="27" s="1"/>
  <c r="N103" i="26"/>
  <c r="O103" i="26" s="1"/>
  <c r="L103" i="26"/>
  <c r="M103" i="26"/>
  <c r="P103" i="26" s="1"/>
  <c r="M21" i="26"/>
  <c r="N21" i="26" s="1"/>
  <c r="K21" i="26"/>
  <c r="L21" i="26" s="1"/>
  <c r="N104" i="24"/>
  <c r="O104" i="24" s="1"/>
  <c r="L104" i="24"/>
  <c r="M104" i="24" s="1"/>
  <c r="M22" i="24"/>
  <c r="N22" i="24" s="1"/>
  <c r="K22" i="24"/>
  <c r="L22" i="24" s="1"/>
  <c r="N102" i="25"/>
  <c r="O102" i="25"/>
  <c r="L102" i="25"/>
  <c r="M102" i="25" s="1"/>
  <c r="M20" i="25"/>
  <c r="N20" i="25" s="1"/>
  <c r="K20" i="25"/>
  <c r="L20" i="25" s="1"/>
  <c r="N103" i="23"/>
  <c r="O103" i="23" s="1"/>
  <c r="L103" i="23"/>
  <c r="M103" i="23" s="1"/>
  <c r="M21" i="23"/>
  <c r="N21" i="23" s="1"/>
  <c r="K21" i="23"/>
  <c r="L21" i="23" s="1"/>
  <c r="N103" i="22"/>
  <c r="O103" i="22" s="1"/>
  <c r="L103" i="22"/>
  <c r="M103" i="22" s="1"/>
  <c r="M21" i="22"/>
  <c r="N21" i="22" s="1"/>
  <c r="K21" i="22"/>
  <c r="L21" i="22" s="1"/>
  <c r="N104" i="21"/>
  <c r="O104" i="21" s="1"/>
  <c r="L104" i="21"/>
  <c r="M104" i="21" s="1"/>
  <c r="M22" i="21"/>
  <c r="N22" i="21" s="1"/>
  <c r="K22" i="21"/>
  <c r="L22" i="21" s="1"/>
  <c r="N106" i="19"/>
  <c r="O106" i="19" s="1"/>
  <c r="L106" i="19"/>
  <c r="M106" i="19" s="1"/>
  <c r="M24" i="19"/>
  <c r="N24" i="19" s="1"/>
  <c r="K24" i="19"/>
  <c r="L24" i="19" s="1"/>
  <c r="N106" i="18"/>
  <c r="O106" i="18"/>
  <c r="P106" i="18" s="1"/>
  <c r="L106" i="18"/>
  <c r="M106" i="18" s="1"/>
  <c r="M24" i="18"/>
  <c r="N24" i="18" s="1"/>
  <c r="K24" i="18"/>
  <c r="L24" i="18" s="1"/>
  <c r="N107" i="4"/>
  <c r="O107" i="4" s="1"/>
  <c r="P107" i="4" s="1"/>
  <c r="L107" i="4"/>
  <c r="M107" i="4" s="1"/>
  <c r="M25" i="3"/>
  <c r="N25" i="3" s="1"/>
  <c r="K25" i="3"/>
  <c r="L25" i="3" s="1"/>
  <c r="N107" i="3"/>
  <c r="O107" i="3" s="1"/>
  <c r="L107" i="3"/>
  <c r="M107" i="3" s="1"/>
  <c r="M25" i="4"/>
  <c r="N25" i="4" s="1"/>
  <c r="K25" i="4"/>
  <c r="L25" i="4" s="1"/>
  <c r="M17" i="31"/>
  <c r="K17" i="31"/>
  <c r="M17" i="35"/>
  <c r="N17" i="35"/>
  <c r="O17" i="35" s="1"/>
  <c r="K17" i="35"/>
  <c r="L17" i="35" s="1"/>
  <c r="M17" i="34"/>
  <c r="N17" i="34" s="1"/>
  <c r="K17" i="34"/>
  <c r="C85" i="1"/>
  <c r="F82" i="1"/>
  <c r="C78" i="1"/>
  <c r="F72" i="1"/>
  <c r="C62" i="1"/>
  <c r="F44" i="1"/>
  <c r="C43" i="1"/>
  <c r="F42" i="1"/>
  <c r="C34" i="1"/>
  <c r="E31" i="1"/>
  <c r="C24" i="1"/>
  <c r="D18" i="1"/>
  <c r="I10" i="13"/>
  <c r="F56" i="1"/>
  <c r="C45" i="1"/>
  <c r="C56"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4" i="37"/>
  <c r="M104" i="37"/>
  <c r="O103" i="37"/>
  <c r="M103" i="37"/>
  <c r="D97" i="37"/>
  <c r="D95" i="37"/>
  <c r="L94" i="37"/>
  <c r="J94" i="37"/>
  <c r="D94" i="37"/>
  <c r="C100" i="37"/>
  <c r="B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L54" i="37"/>
  <c r="N53" i="37"/>
  <c r="L53" i="37"/>
  <c r="N52" i="37"/>
  <c r="L52" i="37"/>
  <c r="N51" i="37"/>
  <c r="L51" i="37"/>
  <c r="N50" i="37"/>
  <c r="L50" i="37"/>
  <c r="N49" i="37"/>
  <c r="L49" i="37"/>
  <c r="N48" i="37"/>
  <c r="L48" i="37"/>
  <c r="N47" i="37"/>
  <c r="L47" i="37"/>
  <c r="N46" i="37"/>
  <c r="L46" i="37"/>
  <c r="N45" i="37"/>
  <c r="L45" i="37"/>
  <c r="N44" i="37"/>
  <c r="L44" i="37"/>
  <c r="N43" i="37"/>
  <c r="L43" i="37"/>
  <c r="N42" i="37"/>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L22" i="37"/>
  <c r="N21" i="37"/>
  <c r="L21" i="37"/>
  <c r="N19" i="37"/>
  <c r="N18"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s="1"/>
  <c r="K18" i="29"/>
  <c r="O103" i="28"/>
  <c r="N103" i="28"/>
  <c r="L103" i="28"/>
  <c r="M103" i="28" s="1"/>
  <c r="M21" i="28"/>
  <c r="N21" i="28" s="1"/>
  <c r="K21" i="28"/>
  <c r="L21" i="28" s="1"/>
  <c r="N103" i="27"/>
  <c r="O103" i="27" s="1"/>
  <c r="L103" i="27"/>
  <c r="M103" i="27" s="1"/>
  <c r="M21" i="27"/>
  <c r="N21" i="27" s="1"/>
  <c r="K21" i="27"/>
  <c r="L21" i="27" s="1"/>
  <c r="N102" i="26"/>
  <c r="O102" i="26" s="1"/>
  <c r="P102" i="26" s="1"/>
  <c r="L102" i="26"/>
  <c r="M102" i="26" s="1"/>
  <c r="M20" i="26"/>
  <c r="K20" i="26"/>
  <c r="L20" i="26" s="1"/>
  <c r="N103" i="24"/>
  <c r="O103" i="24" s="1"/>
  <c r="P103" i="24" s="1"/>
  <c r="L103" i="24"/>
  <c r="M103" i="24" s="1"/>
  <c r="M21" i="24"/>
  <c r="K21" i="24"/>
  <c r="L21" i="24" s="1"/>
  <c r="O21" i="24" s="1"/>
  <c r="N101" i="25"/>
  <c r="O101" i="25"/>
  <c r="L101" i="25"/>
  <c r="M101" i="25"/>
  <c r="M19" i="25"/>
  <c r="N19" i="25"/>
  <c r="K19" i="25"/>
  <c r="L19" i="25" s="1"/>
  <c r="N102" i="23"/>
  <c r="O102" i="23" s="1"/>
  <c r="P102" i="23" s="1"/>
  <c r="L102" i="23"/>
  <c r="M102" i="23"/>
  <c r="M20" i="23"/>
  <c r="N20" i="23" s="1"/>
  <c r="K20" i="23"/>
  <c r="L20" i="23" s="1"/>
  <c r="O20" i="23" s="1"/>
  <c r="N102" i="22"/>
  <c r="O102" i="22"/>
  <c r="L102" i="22"/>
  <c r="M102" i="22" s="1"/>
  <c r="M20" i="22"/>
  <c r="N20" i="22" s="1"/>
  <c r="O20" i="22" s="1"/>
  <c r="K20" i="22"/>
  <c r="L20" i="22" s="1"/>
  <c r="I20" i="22"/>
  <c r="N103" i="21"/>
  <c r="O103" i="21"/>
  <c r="L103" i="21"/>
  <c r="M103" i="21" s="1"/>
  <c r="M21" i="21"/>
  <c r="N21" i="21" s="1"/>
  <c r="K21" i="21"/>
  <c r="L21" i="21" s="1"/>
  <c r="N105" i="19"/>
  <c r="O105" i="19" s="1"/>
  <c r="L105" i="19"/>
  <c r="M105" i="19" s="1"/>
  <c r="P105" i="19" s="1"/>
  <c r="M23" i="19"/>
  <c r="N23" i="19" s="1"/>
  <c r="O23" i="19" s="1"/>
  <c r="K23" i="19"/>
  <c r="L23" i="19" s="1"/>
  <c r="N105" i="18"/>
  <c r="O105" i="18" s="1"/>
  <c r="L105" i="18"/>
  <c r="M105" i="18" s="1"/>
  <c r="M23" i="18"/>
  <c r="N23" i="18" s="1"/>
  <c r="K23" i="18"/>
  <c r="L23" i="18" s="1"/>
  <c r="N106" i="4"/>
  <c r="O106" i="4" s="1"/>
  <c r="P106" i="4" s="1"/>
  <c r="L106" i="4"/>
  <c r="M106" i="4"/>
  <c r="M24" i="4"/>
  <c r="N24" i="4" s="1"/>
  <c r="O24" i="4" s="1"/>
  <c r="K24" i="4"/>
  <c r="L24" i="4" s="1"/>
  <c r="N106" i="3"/>
  <c r="O106" i="3" s="1"/>
  <c r="L106" i="3"/>
  <c r="M106" i="3" s="1"/>
  <c r="M24" i="3"/>
  <c r="N24" i="3" s="1"/>
  <c r="K24" i="3"/>
  <c r="L24" i="3" s="1"/>
  <c r="K17" i="29"/>
  <c r="F66" i="2"/>
  <c r="C66" i="2"/>
  <c r="I10" i="35"/>
  <c r="I10" i="34"/>
  <c r="D95" i="34" s="1"/>
  <c r="I10" i="31"/>
  <c r="I10" i="28"/>
  <c r="I10" i="27"/>
  <c r="I10" i="24"/>
  <c r="I10" i="25"/>
  <c r="D95" i="25" s="1"/>
  <c r="I10" i="23"/>
  <c r="D93" i="23" s="1"/>
  <c r="I10" i="21"/>
  <c r="I10" i="20"/>
  <c r="D93" i="20" s="1"/>
  <c r="J97" i="20" s="1"/>
  <c r="I10" i="19"/>
  <c r="D95" i="19" s="1"/>
  <c r="I10" i="4"/>
  <c r="D93" i="4" s="1"/>
  <c r="B106" i="4"/>
  <c r="I10" i="3"/>
  <c r="D93" i="3" s="1"/>
  <c r="N73" i="13"/>
  <c r="L73" i="13"/>
  <c r="N72" i="13"/>
  <c r="L72" i="13"/>
  <c r="N73" i="35"/>
  <c r="L73" i="35"/>
  <c r="N72" i="35"/>
  <c r="L72" i="35"/>
  <c r="N73" i="34"/>
  <c r="L73" i="34"/>
  <c r="N72" i="34"/>
  <c r="L72" i="34"/>
  <c r="D95" i="13"/>
  <c r="D94" i="13"/>
  <c r="W32" i="17"/>
  <c r="W33" i="17"/>
  <c r="W34" i="17"/>
  <c r="O39" i="17"/>
  <c r="N39"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5" i="35"/>
  <c r="M105" i="35"/>
  <c r="O104" i="35"/>
  <c r="M104" i="35"/>
  <c r="O103" i="35"/>
  <c r="O102" i="35"/>
  <c r="O100" i="35"/>
  <c r="M100"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L23" i="35"/>
  <c r="N22" i="35"/>
  <c r="L22" i="35"/>
  <c r="N21"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5" i="34"/>
  <c r="M105" i="34"/>
  <c r="O104" i="34"/>
  <c r="M104" i="34"/>
  <c r="O103" i="34"/>
  <c r="O102" i="34"/>
  <c r="O100"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L23" i="34"/>
  <c r="N22" i="34"/>
  <c r="L22" i="34"/>
  <c r="N21" i="34"/>
  <c r="L18" i="34"/>
  <c r="L17" i="34"/>
  <c r="C17" i="34"/>
  <c r="C18" i="34"/>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B17" i="34"/>
  <c r="K11" i="34"/>
  <c r="I11" i="34"/>
  <c r="D8" i="34"/>
  <c r="D91" i="34" s="1"/>
  <c r="B21" i="28"/>
  <c r="B22" i="19"/>
  <c r="D93" i="25"/>
  <c r="N102" i="28"/>
  <c r="L102" i="28"/>
  <c r="M102" i="28" s="1"/>
  <c r="N102" i="27"/>
  <c r="L102" i="27"/>
  <c r="M102" i="27"/>
  <c r="N101" i="26"/>
  <c r="O101" i="26" s="1"/>
  <c r="P101" i="26" s="1"/>
  <c r="L101" i="26"/>
  <c r="M101" i="26"/>
  <c r="N102" i="24"/>
  <c r="L102" i="24"/>
  <c r="M102" i="24" s="1"/>
  <c r="P102" i="24" s="1"/>
  <c r="N100" i="25"/>
  <c r="L100" i="25"/>
  <c r="M100" i="25" s="1"/>
  <c r="L101" i="23"/>
  <c r="M101" i="23" s="1"/>
  <c r="P101" i="23" s="1"/>
  <c r="N101" i="23"/>
  <c r="O101" i="23" s="1"/>
  <c r="L101" i="22"/>
  <c r="M101" i="22" s="1"/>
  <c r="N101" i="22"/>
  <c r="O101" i="22" s="1"/>
  <c r="P101" i="22" s="1"/>
  <c r="L102" i="21"/>
  <c r="M102" i="21"/>
  <c r="N102" i="21"/>
  <c r="L104" i="19"/>
  <c r="M104" i="19" s="1"/>
  <c r="N104" i="19"/>
  <c r="O104" i="19" s="1"/>
  <c r="L104" i="18"/>
  <c r="M104" i="18" s="1"/>
  <c r="N104" i="18"/>
  <c r="O104" i="18"/>
  <c r="P104" i="18" s="1"/>
  <c r="L105" i="3"/>
  <c r="M105" i="3" s="1"/>
  <c r="N105" i="3"/>
  <c r="O105" i="3" s="1"/>
  <c r="M17" i="29"/>
  <c r="L17" i="29"/>
  <c r="K20" i="28"/>
  <c r="L20" i="28" s="1"/>
  <c r="M20" i="28"/>
  <c r="K20" i="27"/>
  <c r="L20" i="27"/>
  <c r="M20" i="27"/>
  <c r="K19" i="26"/>
  <c r="L19" i="26"/>
  <c r="M19" i="26"/>
  <c r="N19" i="26" s="1"/>
  <c r="O19" i="26" s="1"/>
  <c r="K20" i="24"/>
  <c r="L20" i="24"/>
  <c r="M20" i="24"/>
  <c r="K18" i="25"/>
  <c r="L18" i="25" s="1"/>
  <c r="M18" i="25"/>
  <c r="K19" i="23"/>
  <c r="L19" i="23"/>
  <c r="M19" i="23"/>
  <c r="N19" i="23" s="1"/>
  <c r="O19" i="23" s="1"/>
  <c r="K19" i="22"/>
  <c r="L19" i="22" s="1"/>
  <c r="M19" i="22"/>
  <c r="K20" i="21"/>
  <c r="L20" i="21" s="1"/>
  <c r="M20" i="21"/>
  <c r="K22" i="19"/>
  <c r="L22" i="19" s="1"/>
  <c r="M22" i="19"/>
  <c r="K22" i="18"/>
  <c r="L22" i="18"/>
  <c r="M22" i="18"/>
  <c r="K23" i="4"/>
  <c r="L23" i="4"/>
  <c r="O23" i="4"/>
  <c r="M23" i="4"/>
  <c r="N23" i="4"/>
  <c r="K23" i="3"/>
  <c r="L23" i="3"/>
  <c r="M23" i="3"/>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c r="P105" i="4" s="1"/>
  <c r="N105" i="4"/>
  <c r="O105" i="4"/>
  <c r="L104" i="3"/>
  <c r="M104" i="3"/>
  <c r="N23" i="3"/>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M100" i="31"/>
  <c r="P100" i="31" s="1"/>
  <c r="L17" i="3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5" i="31"/>
  <c r="M105" i="31"/>
  <c r="O104" i="31"/>
  <c r="M104" i="31"/>
  <c r="O103" i="31"/>
  <c r="O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L23" i="31"/>
  <c r="N22" i="31"/>
  <c r="L22" i="31"/>
  <c r="N21" i="31"/>
  <c r="N20" i="31"/>
  <c r="N17" i="31"/>
  <c r="O17" i="31" s="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6" i="1"/>
  <c r="F83" i="1"/>
  <c r="D10" i="19"/>
  <c r="D93" i="19" s="1"/>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6" i="29"/>
  <c r="M106" i="29"/>
  <c r="O105" i="29"/>
  <c r="M105" i="29"/>
  <c r="O104" i="29"/>
  <c r="O100" i="29"/>
  <c r="P100" i="29" s="1"/>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L24" i="29"/>
  <c r="N23" i="29"/>
  <c r="L23" i="29"/>
  <c r="N22" i="29"/>
  <c r="N21" i="29"/>
  <c r="N17" i="29"/>
  <c r="O17" i="29" s="1"/>
  <c r="C17" i="29"/>
  <c r="C18" i="29"/>
  <c r="C19" i="29" s="1"/>
  <c r="C20" i="29" s="1"/>
  <c r="C21" i="29" s="1"/>
  <c r="C22" i="29" s="1"/>
  <c r="C23" i="29" s="1"/>
  <c r="C24" i="29"/>
  <c r="C25" i="29" s="1"/>
  <c r="C26" i="29" s="1"/>
  <c r="C27" i="29" s="1"/>
  <c r="C28" i="29" s="1"/>
  <c r="C29" i="29" s="1"/>
  <c r="C30" i="29" s="1"/>
  <c r="C31" i="29" s="1"/>
  <c r="C32" i="29" s="1"/>
  <c r="K11" i="29"/>
  <c r="I11" i="29"/>
  <c r="D8" i="29"/>
  <c r="D91" i="29" s="1"/>
  <c r="B100" i="22"/>
  <c r="B18" i="22"/>
  <c r="B17" i="22"/>
  <c r="B102" i="28"/>
  <c r="B20" i="28"/>
  <c r="B19" i="28"/>
  <c r="B18" i="28"/>
  <c r="B17" i="28"/>
  <c r="D95" i="28"/>
  <c r="D94" i="28"/>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M19" i="28"/>
  <c r="N19" i="28"/>
  <c r="K19" i="28"/>
  <c r="L19" i="28"/>
  <c r="D95" i="27"/>
  <c r="D94" i="27"/>
  <c r="B20" i="27"/>
  <c r="B19" i="27"/>
  <c r="B18" i="27"/>
  <c r="B17" i="27"/>
  <c r="M19" i="27"/>
  <c r="N19" i="27" s="1"/>
  <c r="K19" i="27"/>
  <c r="L19" i="27" s="1"/>
  <c r="M18" i="27"/>
  <c r="N18" i="27" s="1"/>
  <c r="K18" i="27"/>
  <c r="L18" i="27" s="1"/>
  <c r="O18" i="27" s="1"/>
  <c r="B101" i="26"/>
  <c r="D95" i="26"/>
  <c r="D94" i="26"/>
  <c r="B18" i="26"/>
  <c r="B17" i="26"/>
  <c r="B20" i="24"/>
  <c r="B19" i="24"/>
  <c r="B18" i="24"/>
  <c r="B17" i="24"/>
  <c r="B19" i="26"/>
  <c r="M18" i="26"/>
  <c r="N18" i="26"/>
  <c r="K18" i="26"/>
  <c r="L18" i="26" s="1"/>
  <c r="O18" i="26" s="1"/>
  <c r="D95" i="24"/>
  <c r="D94" i="24"/>
  <c r="M19" i="24"/>
  <c r="N19" i="24" s="1"/>
  <c r="O19" i="24" s="1"/>
  <c r="K19" i="24"/>
  <c r="L19" i="24"/>
  <c r="B17" i="25"/>
  <c r="B19" i="23"/>
  <c r="B18" i="23"/>
  <c r="B17" i="23"/>
  <c r="B18" i="25"/>
  <c r="M17" i="25"/>
  <c r="N17" i="25" s="1"/>
  <c r="O17" i="25" s="1"/>
  <c r="K17" i="25"/>
  <c r="L17" i="25" s="1"/>
  <c r="N100" i="23"/>
  <c r="O100" i="23"/>
  <c r="M100" i="23"/>
  <c r="L100" i="23"/>
  <c r="M18" i="23"/>
  <c r="N18" i="23"/>
  <c r="L18" i="23"/>
  <c r="K18" i="23"/>
  <c r="B101" i="22"/>
  <c r="N100" i="22"/>
  <c r="O100" i="22" s="1"/>
  <c r="L100" i="22"/>
  <c r="M100" i="22" s="1"/>
  <c r="P100" i="22" s="1"/>
  <c r="B102" i="27"/>
  <c r="B19" i="22"/>
  <c r="M18" i="22"/>
  <c r="N18" i="22" s="1"/>
  <c r="O18" i="22" s="1"/>
  <c r="K18" i="22"/>
  <c r="L18" i="22"/>
  <c r="M19" i="21"/>
  <c r="N19" i="21" s="1"/>
  <c r="K19" i="21"/>
  <c r="L19" i="21" s="1"/>
  <c r="O19" i="21" s="1"/>
  <c r="N103" i="19"/>
  <c r="O103" i="19" s="1"/>
  <c r="L103" i="19"/>
  <c r="M103" i="19" s="1"/>
  <c r="M21" i="19"/>
  <c r="N21" i="19" s="1"/>
  <c r="O21" i="19" s="1"/>
  <c r="K21" i="19"/>
  <c r="L21" i="19" s="1"/>
  <c r="N103" i="18"/>
  <c r="O103" i="18"/>
  <c r="L103" i="18"/>
  <c r="M103" i="18" s="1"/>
  <c r="P103" i="18" s="1"/>
  <c r="M21" i="18"/>
  <c r="N21" i="18" s="1"/>
  <c r="K21" i="18"/>
  <c r="L21" i="18"/>
  <c r="N104" i="4"/>
  <c r="O104" i="4" s="1"/>
  <c r="L104" i="4"/>
  <c r="M104" i="4" s="1"/>
  <c r="M22" i="4"/>
  <c r="N22" i="4" s="1"/>
  <c r="L22" i="4"/>
  <c r="K22" i="4"/>
  <c r="N104" i="3"/>
  <c r="O104" i="3" s="1"/>
  <c r="M22" i="3"/>
  <c r="N22" i="3" s="1"/>
  <c r="K22" i="3"/>
  <c r="L22" i="3" s="1"/>
  <c r="W30" i="17"/>
  <c r="W29" i="17"/>
  <c r="M18" i="28"/>
  <c r="N18" i="28"/>
  <c r="O18" i="28" s="1"/>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O102" i="28"/>
  <c r="P102" i="28" s="1"/>
  <c r="O101" i="28"/>
  <c r="M101" i="28"/>
  <c r="O100" i="28"/>
  <c r="M100" i="28"/>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N23" i="28"/>
  <c r="N20" i="28"/>
  <c r="C17" i="28"/>
  <c r="C18" i="28"/>
  <c r="C19" i="28" s="1"/>
  <c r="C20" i="28" s="1"/>
  <c r="C21" i="28" s="1"/>
  <c r="C22" i="28" s="1"/>
  <c r="C23" i="28" s="1"/>
  <c r="C24" i="28" s="1"/>
  <c r="C25" i="28" s="1"/>
  <c r="C26" i="28" s="1"/>
  <c r="C27" i="28" s="1"/>
  <c r="C28" i="28" s="1"/>
  <c r="C29" i="28" s="1"/>
  <c r="C30" i="28" s="1"/>
  <c r="C31" i="28" s="1"/>
  <c r="C32" i="28" s="1"/>
  <c r="K11" i="28"/>
  <c r="I11" i="28"/>
  <c r="M17" i="27"/>
  <c r="N17" i="27" s="1"/>
  <c r="K17" i="27"/>
  <c r="L17" i="27"/>
  <c r="M17" i="26"/>
  <c r="N17" i="26" s="1"/>
  <c r="K17" i="26"/>
  <c r="L17" i="26" s="1"/>
  <c r="M18" i="24"/>
  <c r="N18" i="24" s="1"/>
  <c r="K18" i="24"/>
  <c r="L18" i="24" s="1"/>
  <c r="M17" i="24"/>
  <c r="N17" i="24" s="1"/>
  <c r="K17" i="24"/>
  <c r="L17" i="24"/>
  <c r="N102" i="18"/>
  <c r="O102" i="18" s="1"/>
  <c r="L102" i="18"/>
  <c r="M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8" i="27"/>
  <c r="M108" i="27"/>
  <c r="O107" i="27"/>
  <c r="M107" i="27"/>
  <c r="O106" i="27"/>
  <c r="O102" i="27"/>
  <c r="O101" i="27"/>
  <c r="O100" i="27"/>
  <c r="M100" i="27"/>
  <c r="P100" i="27" s="1"/>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L26" i="27"/>
  <c r="N25" i="27"/>
  <c r="L25" i="27"/>
  <c r="N20" i="27"/>
  <c r="O20" i="27" s="1"/>
  <c r="C17" i="27"/>
  <c r="C18" i="27" s="1"/>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8" i="26"/>
  <c r="M108" i="26"/>
  <c r="O107" i="26"/>
  <c r="M107" i="26"/>
  <c r="O106" i="26"/>
  <c r="O105" i="26"/>
  <c r="O100" i="26"/>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L26" i="26"/>
  <c r="N25" i="26"/>
  <c r="L25" i="26"/>
  <c r="N24" i="26"/>
  <c r="C17" i="26"/>
  <c r="C18" i="26" s="1"/>
  <c r="C19" i="26" s="1"/>
  <c r="C20" i="26" s="1"/>
  <c r="C21" i="26" s="1"/>
  <c r="C22" i="26" s="1"/>
  <c r="C23" i="26" s="1"/>
  <c r="C24" i="26" s="1"/>
  <c r="C25" i="26" s="1"/>
  <c r="C26" i="26" s="1"/>
  <c r="C27" i="26" s="1"/>
  <c r="C28" i="26" s="1"/>
  <c r="C29" i="26" s="1"/>
  <c r="C30" i="26" s="1"/>
  <c r="C31" i="26" s="1"/>
  <c r="C32" i="26" s="1"/>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7" i="25"/>
  <c r="M107" i="25"/>
  <c r="O106" i="25"/>
  <c r="M106" i="25"/>
  <c r="O105" i="25"/>
  <c r="O104" i="25"/>
  <c r="O100" i="25"/>
  <c r="P100" i="25" s="1"/>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L25" i="25"/>
  <c r="N24" i="25"/>
  <c r="L24" i="25"/>
  <c r="N23" i="25"/>
  <c r="N22" i="25"/>
  <c r="N18" i="25"/>
  <c r="O18" i="25" s="1"/>
  <c r="C17" i="25"/>
  <c r="C18" i="25" s="1"/>
  <c r="C19" i="25" s="1"/>
  <c r="C20" i="25" s="1"/>
  <c r="C21" i="25" s="1"/>
  <c r="C22" i="25" s="1"/>
  <c r="C23" i="25" s="1"/>
  <c r="C24" i="25" s="1"/>
  <c r="C25" i="25" s="1"/>
  <c r="C26" i="25" s="1"/>
  <c r="C27" i="25" s="1"/>
  <c r="C28" i="25" s="1"/>
  <c r="C29" i="25" s="1"/>
  <c r="C30" i="25" s="1"/>
  <c r="C31" i="25" s="1"/>
  <c r="C32" i="25" s="1"/>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9" i="24"/>
  <c r="M109" i="24"/>
  <c r="O108" i="24"/>
  <c r="M108" i="24"/>
  <c r="O107" i="24"/>
  <c r="O102" i="24"/>
  <c r="O101" i="24"/>
  <c r="P101" i="24" s="1"/>
  <c r="M101" i="24"/>
  <c r="O100" i="24"/>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L27" i="24"/>
  <c r="N26" i="24"/>
  <c r="L26" i="24"/>
  <c r="N25" i="24"/>
  <c r="N24" i="24"/>
  <c r="N20"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O17" i="23" s="1"/>
  <c r="K17" i="23"/>
  <c r="L17" i="23" s="1"/>
  <c r="M17" i="22"/>
  <c r="N17" i="22"/>
  <c r="O17" i="22" s="1"/>
  <c r="K17" i="22"/>
  <c r="L17" i="22" s="1"/>
  <c r="N101" i="21"/>
  <c r="O101" i="21"/>
  <c r="L101" i="21"/>
  <c r="M101" i="21" s="1"/>
  <c r="P101" i="21" s="1"/>
  <c r="M18" i="21"/>
  <c r="N18" i="21" s="1"/>
  <c r="K18" i="21"/>
  <c r="L18" i="21"/>
  <c r="N102" i="19"/>
  <c r="O102" i="19" s="1"/>
  <c r="L102" i="19"/>
  <c r="M102" i="19" s="1"/>
  <c r="P102" i="19" s="1"/>
  <c r="M20" i="19"/>
  <c r="N20" i="19" s="1"/>
  <c r="K20" i="19"/>
  <c r="L20" i="19" s="1"/>
  <c r="O20" i="19" s="1"/>
  <c r="M20" i="18"/>
  <c r="N20" i="18" s="1"/>
  <c r="K20" i="18"/>
  <c r="L20" i="18"/>
  <c r="O20" i="18" s="1"/>
  <c r="N103" i="4"/>
  <c r="O103" i="4" s="1"/>
  <c r="L103" i="4"/>
  <c r="M103" i="4" s="1"/>
  <c r="M21" i="4"/>
  <c r="N21" i="4" s="1"/>
  <c r="K21" i="4"/>
  <c r="L21" i="4" s="1"/>
  <c r="O21" i="4" s="1"/>
  <c r="N103" i="3"/>
  <c r="O103" i="3" s="1"/>
  <c r="L103" i="3"/>
  <c r="M103" i="3" s="1"/>
  <c r="M21" i="3"/>
  <c r="N21" i="3" s="1"/>
  <c r="O21" i="3" s="1"/>
  <c r="K21" i="3"/>
  <c r="L21" i="3"/>
  <c r="D8" i="23"/>
  <c r="D8" i="22"/>
  <c r="D91" i="22" s="1"/>
  <c r="D8" i="21"/>
  <c r="D8" i="18"/>
  <c r="D91" i="18" s="1"/>
  <c r="D8" i="4"/>
  <c r="D91" i="4" s="1"/>
  <c r="D8" i="3"/>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8" i="23"/>
  <c r="M108" i="23"/>
  <c r="O107" i="23"/>
  <c r="M107" i="23"/>
  <c r="O106" i="23"/>
  <c r="D97" i="23"/>
  <c r="L94" i="23"/>
  <c r="J94" i="23"/>
  <c r="D92" i="23"/>
  <c r="D91"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L26" i="23"/>
  <c r="N25" i="23"/>
  <c r="L25" i="23"/>
  <c r="N24" i="23"/>
  <c r="N23"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8" i="22"/>
  <c r="M108" i="22"/>
  <c r="O107" i="22"/>
  <c r="M107" i="22"/>
  <c r="O106"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L26" i="22"/>
  <c r="N25" i="22"/>
  <c r="L25" i="22"/>
  <c r="N24" i="22"/>
  <c r="N23" i="22"/>
  <c r="N19" i="22"/>
  <c r="O19" i="22" s="1"/>
  <c r="C17" i="22"/>
  <c r="C18" i="22" s="1"/>
  <c r="C19" i="22" s="1"/>
  <c r="C20" i="22" s="1"/>
  <c r="C21" i="22" s="1"/>
  <c r="C22" i="22" s="1"/>
  <c r="C23" i="22" s="1"/>
  <c r="C24" i="22" s="1"/>
  <c r="C25" i="22" s="1"/>
  <c r="C26" i="22" s="1"/>
  <c r="C27" i="22" s="1"/>
  <c r="C28" i="22" s="1"/>
  <c r="C29" i="22" s="1"/>
  <c r="C30" i="22" s="1"/>
  <c r="C31" i="22" s="1"/>
  <c r="C32" i="22" s="1"/>
  <c r="K11" i="22"/>
  <c r="I11" i="22"/>
  <c r="N100" i="21"/>
  <c r="O100" i="21" s="1"/>
  <c r="P100" i="21" s="1"/>
  <c r="L100" i="21"/>
  <c r="M100" i="21" s="1"/>
  <c r="N101" i="19"/>
  <c r="O101" i="19" s="1"/>
  <c r="L101" i="19"/>
  <c r="M101" i="19" s="1"/>
  <c r="M19" i="19"/>
  <c r="N19" i="19" s="1"/>
  <c r="O19" i="19" s="1"/>
  <c r="K19" i="19"/>
  <c r="L19" i="19" s="1"/>
  <c r="N101" i="18"/>
  <c r="O101" i="18" s="1"/>
  <c r="L101" i="18"/>
  <c r="M101" i="18" s="1"/>
  <c r="M19" i="18"/>
  <c r="N19" i="18" s="1"/>
  <c r="O19" i="18" s="1"/>
  <c r="K19" i="18"/>
  <c r="L19" i="18" s="1"/>
  <c r="N102" i="4"/>
  <c r="O102" i="4" s="1"/>
  <c r="L102" i="4"/>
  <c r="M102" i="4" s="1"/>
  <c r="M20" i="4"/>
  <c r="N20" i="4" s="1"/>
  <c r="K20" i="4"/>
  <c r="L20" i="4" s="1"/>
  <c r="M20" i="3"/>
  <c r="N20" i="3" s="1"/>
  <c r="K20" i="3"/>
  <c r="L20" i="3" s="1"/>
  <c r="N102" i="3"/>
  <c r="O102" i="3" s="1"/>
  <c r="P102" i="3" s="1"/>
  <c r="L102" i="3"/>
  <c r="M102" i="3" s="1"/>
  <c r="F78" i="1"/>
  <c r="W23" i="17"/>
  <c r="W22" i="17"/>
  <c r="B21" i="18"/>
  <c r="B19" i="21"/>
  <c r="B21" i="3"/>
  <c r="M17" i="21"/>
  <c r="K17" i="21"/>
  <c r="M17" i="20"/>
  <c r="K17" i="20"/>
  <c r="L17" i="20" s="1"/>
  <c r="N100" i="19"/>
  <c r="L100" i="19"/>
  <c r="M18" i="19"/>
  <c r="N18" i="19" s="1"/>
  <c r="K18" i="19"/>
  <c r="L18" i="19" s="1"/>
  <c r="N100" i="18"/>
  <c r="L100" i="18"/>
  <c r="M100" i="18" s="1"/>
  <c r="P100" i="18" s="1"/>
  <c r="M18" i="18"/>
  <c r="K18" i="18"/>
  <c r="L18" i="18" s="1"/>
  <c r="N101" i="4"/>
  <c r="L101" i="4"/>
  <c r="M101" i="4" s="1"/>
  <c r="M19" i="4"/>
  <c r="K19" i="4"/>
  <c r="L19" i="4"/>
  <c r="N101" i="3"/>
  <c r="O101" i="3" s="1"/>
  <c r="P101" i="3" s="1"/>
  <c r="L101" i="3"/>
  <c r="M19" i="3"/>
  <c r="N19" i="3"/>
  <c r="K19" i="3"/>
  <c r="L19" i="3" s="1"/>
  <c r="J95" i="31"/>
  <c r="D94" i="3"/>
  <c r="C100" i="3" s="1"/>
  <c r="C17" i="3"/>
  <c r="C18" i="3" s="1"/>
  <c r="C19" i="3" s="1"/>
  <c r="C20" i="3" s="1"/>
  <c r="C21" i="3" s="1"/>
  <c r="C22" i="3" s="1"/>
  <c r="C23" i="3" s="1"/>
  <c r="C24" i="3" s="1"/>
  <c r="C25" i="3" s="1"/>
  <c r="C26" i="3" s="1"/>
  <c r="C27" i="3" s="1"/>
  <c r="C28" i="3" s="1"/>
  <c r="C29" i="3" s="1"/>
  <c r="C30" i="3" s="1"/>
  <c r="C31" i="3" s="1"/>
  <c r="C32" i="3" s="1"/>
  <c r="K18" i="3"/>
  <c r="L18" i="3" s="1"/>
  <c r="C17" i="4"/>
  <c r="C18" i="4" s="1"/>
  <c r="C19" i="4" s="1"/>
  <c r="C20" i="4" s="1"/>
  <c r="C21" i="4" s="1"/>
  <c r="C22" i="4" s="1"/>
  <c r="C23" i="4" s="1"/>
  <c r="C24" i="4" s="1"/>
  <c r="C25" i="4" s="1"/>
  <c r="C26" i="4" s="1"/>
  <c r="C27" i="4" s="1"/>
  <c r="C28" i="4" s="1"/>
  <c r="C29" i="4" s="1"/>
  <c r="C30" i="4" s="1"/>
  <c r="C31" i="4" s="1"/>
  <c r="C32" i="4" s="1"/>
  <c r="K18" i="4"/>
  <c r="C17" i="18"/>
  <c r="C18" i="18" s="1"/>
  <c r="C19" i="18" s="1"/>
  <c r="C20" i="18" s="1"/>
  <c r="C21" i="18" s="1"/>
  <c r="C22" i="18" s="1"/>
  <c r="C23" i="18" s="1"/>
  <c r="C24" i="18" s="1"/>
  <c r="C25" i="18" s="1"/>
  <c r="C26" i="18" s="1"/>
  <c r="C27" i="18" s="1"/>
  <c r="C28" i="18" s="1"/>
  <c r="C29" i="18" s="1"/>
  <c r="C30" i="18" s="1"/>
  <c r="C31" i="18" s="1"/>
  <c r="C32" i="18" s="1"/>
  <c r="K17" i="18"/>
  <c r="C17" i="19"/>
  <c r="C18" i="19" s="1"/>
  <c r="C19" i="19" s="1"/>
  <c r="C20" i="19" s="1"/>
  <c r="C21" i="19" s="1"/>
  <c r="C22" i="19" s="1"/>
  <c r="C23" i="19" s="1"/>
  <c r="C24" i="19" s="1"/>
  <c r="C25" i="19" s="1"/>
  <c r="C26" i="19" s="1"/>
  <c r="C27" i="19" s="1"/>
  <c r="C28" i="19" s="1"/>
  <c r="C29" i="19" s="1"/>
  <c r="C30" i="19" s="1"/>
  <c r="C31" i="19" s="1"/>
  <c r="C32" i="19" s="1"/>
  <c r="K17" i="19"/>
  <c r="L17" i="19"/>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L17" i="21"/>
  <c r="N17" i="21"/>
  <c r="O17" i="21"/>
  <c r="N20" i="21"/>
  <c r="O20" i="21" s="1"/>
  <c r="N24" i="21"/>
  <c r="N25" i="21"/>
  <c r="L26" i="21"/>
  <c r="N26" i="21"/>
  <c r="L27" i="21"/>
  <c r="N27" i="21"/>
  <c r="L28" i="21"/>
  <c r="N28" i="21"/>
  <c r="L29" i="21"/>
  <c r="N29" i="21"/>
  <c r="L30" i="21"/>
  <c r="N30" i="21"/>
  <c r="L31" i="21"/>
  <c r="N31" i="21"/>
  <c r="L33" i="21"/>
  <c r="N33" i="2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1" i="21"/>
  <c r="D92" i="21"/>
  <c r="J94" i="21"/>
  <c r="L94" i="21"/>
  <c r="D97" i="21"/>
  <c r="O102" i="21"/>
  <c r="P102" i="21"/>
  <c r="O106" i="21"/>
  <c r="O107" i="21"/>
  <c r="M108" i="21"/>
  <c r="O108" i="21"/>
  <c r="M109" i="21"/>
  <c r="O109"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N17" i="19" s="1"/>
  <c r="O17" i="19" s="1"/>
  <c r="P1" i="20"/>
  <c r="P84" i="20" s="1"/>
  <c r="H3" i="20"/>
  <c r="K11" i="20"/>
  <c r="B17" i="20"/>
  <c r="N17" i="20"/>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7" i="18" s="1"/>
  <c r="O17" i="18" s="1"/>
  <c r="N100" i="4"/>
  <c r="L100" i="4"/>
  <c r="M100" i="4"/>
  <c r="M18" i="4"/>
  <c r="N100" i="3"/>
  <c r="L100" i="3"/>
  <c r="M100" i="3" s="1"/>
  <c r="M18" i="3"/>
  <c r="C17" i="13"/>
  <c r="W21" i="17"/>
  <c r="W20" i="17"/>
  <c r="K17" i="3"/>
  <c r="K17" i="4"/>
  <c r="L17" i="4" s="1"/>
  <c r="P1" i="19"/>
  <c r="P84" i="19" s="1"/>
  <c r="H3" i="19"/>
  <c r="K11" i="19"/>
  <c r="B17" i="19"/>
  <c r="I17" i="19"/>
  <c r="B18" i="19"/>
  <c r="N22" i="19"/>
  <c r="N26" i="19"/>
  <c r="N27" i="19"/>
  <c r="L28" i="19"/>
  <c r="N28" i="19"/>
  <c r="L29" i="19"/>
  <c r="N29" i="19"/>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2" i="19"/>
  <c r="J94" i="19"/>
  <c r="L94" i="19"/>
  <c r="D97" i="19"/>
  <c r="M100" i="19"/>
  <c r="O100" i="19"/>
  <c r="P100" i="19" s="1"/>
  <c r="O108" i="19"/>
  <c r="O109" i="19"/>
  <c r="M110" i="19"/>
  <c r="O110" i="19"/>
  <c r="M111" i="19"/>
  <c r="O111"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L17" i="18"/>
  <c r="B18" i="18"/>
  <c r="N18" i="18"/>
  <c r="O18" i="18" s="1"/>
  <c r="N22" i="18"/>
  <c r="O22" i="18" s="1"/>
  <c r="N26" i="18"/>
  <c r="N27" i="18"/>
  <c r="L28" i="18"/>
  <c r="N28" i="18"/>
  <c r="L29"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O100" i="18"/>
  <c r="O108" i="18"/>
  <c r="O109" i="18"/>
  <c r="M110" i="18"/>
  <c r="O110" i="18"/>
  <c r="M111" i="18"/>
  <c r="O111"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N17" i="4" s="1"/>
  <c r="B101" i="4"/>
  <c r="B100" i="4"/>
  <c r="B19" i="4"/>
  <c r="B18" i="4"/>
  <c r="B19" i="3"/>
  <c r="B18" i="3"/>
  <c r="B100" i="3"/>
  <c r="M17" i="3"/>
  <c r="N17" i="3" s="1"/>
  <c r="O17" i="3" s="1"/>
  <c r="P1" i="13"/>
  <c r="P84" i="13" s="1"/>
  <c r="P1" i="4"/>
  <c r="P84" i="4" s="1"/>
  <c r="P1" i="3"/>
  <c r="P84" i="3" s="1"/>
  <c r="P12" i="17"/>
  <c r="L12" i="17"/>
  <c r="R12" i="17" s="1"/>
  <c r="W19" i="17"/>
  <c r="W18" i="17"/>
  <c r="G12" i="17"/>
  <c r="H3" i="3"/>
  <c r="H3" i="4"/>
  <c r="D91" i="3"/>
  <c r="O3" i="3"/>
  <c r="A1" i="2"/>
  <c r="F13" i="1"/>
  <c r="C37"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I18" i="4"/>
  <c r="L18" i="4"/>
  <c r="N18" i="4"/>
  <c r="O18" i="4" s="1"/>
  <c r="N19" i="4"/>
  <c r="O19" i="4" s="1"/>
  <c r="N28" i="4"/>
  <c r="L29" i="4"/>
  <c r="N29" i="4"/>
  <c r="L30"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00" i="4"/>
  <c r="P100" i="4" s="1"/>
  <c r="O101" i="4"/>
  <c r="P101" i="4" s="1"/>
  <c r="M111" i="4"/>
  <c r="O111" i="4"/>
  <c r="M112" i="4"/>
  <c r="O112"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L17" i="3"/>
  <c r="I18" i="3"/>
  <c r="N18" i="3"/>
  <c r="O18" i="3"/>
  <c r="N28" i="3"/>
  <c r="L29" i="3"/>
  <c r="N29" i="3"/>
  <c r="L30"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0" i="3"/>
  <c r="M101" i="3"/>
  <c r="O109" i="3"/>
  <c r="O110" i="3"/>
  <c r="M111"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E34" i="1"/>
  <c r="C38" i="1"/>
  <c r="C42" i="1"/>
  <c r="F43" i="1"/>
  <c r="C44" i="1"/>
  <c r="F45" i="1"/>
  <c r="C50" i="1"/>
  <c r="F62" i="1"/>
  <c r="C72" i="1"/>
  <c r="C86" i="1"/>
  <c r="S128" i="1"/>
  <c r="S129" i="1"/>
  <c r="S130" i="1"/>
  <c r="E31" i="2"/>
  <c r="D19" i="2"/>
  <c r="D18" i="2"/>
  <c r="D17" i="2"/>
  <c r="F13" i="2"/>
  <c r="C76" i="2" s="1"/>
  <c r="J100" i="4"/>
  <c r="J100" i="3"/>
  <c r="E18" i="2"/>
  <c r="E17" i="2"/>
  <c r="E24" i="2"/>
  <c r="F64" i="2"/>
  <c r="C90" i="2"/>
  <c r="C89" i="2"/>
  <c r="C64" i="2"/>
  <c r="C31" i="2"/>
  <c r="C24" i="2"/>
  <c r="C12" i="2"/>
  <c r="B101" i="3"/>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B22" i="4"/>
  <c r="B23" i="3"/>
  <c r="C100" i="24"/>
  <c r="C101" i="24"/>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B23" i="4"/>
  <c r="B102" i="18"/>
  <c r="M17" i="28"/>
  <c r="N17" i="28" s="1"/>
  <c r="K17" i="28"/>
  <c r="L17" i="28" s="1"/>
  <c r="C100" i="27"/>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C100" i="26"/>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J102" i="18"/>
  <c r="I22" i="3"/>
  <c r="B105" i="3"/>
  <c r="B104" i="3"/>
  <c r="B103" i="18"/>
  <c r="B104" i="4"/>
  <c r="B100" i="25"/>
  <c r="I13" i="17"/>
  <c r="E13" i="17"/>
  <c r="H3" i="17"/>
  <c r="B105" i="4"/>
  <c r="B103" i="19"/>
  <c r="B22" i="18"/>
  <c r="P100" i="28"/>
  <c r="P101" i="27"/>
  <c r="P100" i="26"/>
  <c r="P100" i="24"/>
  <c r="B104" i="19"/>
  <c r="O20" i="3"/>
  <c r="O100" i="31"/>
  <c r="J105" i="4"/>
  <c r="B104" i="18"/>
  <c r="O20" i="24"/>
  <c r="O20" i="28"/>
  <c r="B20" i="26"/>
  <c r="O23" i="3"/>
  <c r="O22" i="19"/>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C45" i="34"/>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9" i="25"/>
  <c r="B103" i="28"/>
  <c r="B103" i="27"/>
  <c r="B101" i="25"/>
  <c r="B103" i="21"/>
  <c r="P105" i="3"/>
  <c r="C18" i="13"/>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B17" i="13"/>
  <c r="I14" i="13"/>
  <c r="E17" i="13"/>
  <c r="B102" i="22"/>
  <c r="A5" i="2"/>
  <c r="I12" i="21"/>
  <c r="I13" i="21" s="1"/>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L18" i="29"/>
  <c r="P103" i="28"/>
  <c r="B22" i="28"/>
  <c r="B22" i="27"/>
  <c r="N20" i="26"/>
  <c r="O20" i="26" s="1"/>
  <c r="B102" i="24"/>
  <c r="B104" i="24"/>
  <c r="N21" i="24"/>
  <c r="B102" i="25"/>
  <c r="O19" i="25"/>
  <c r="B21" i="22"/>
  <c r="B22" i="21"/>
  <c r="I17" i="35"/>
  <c r="I21" i="28"/>
  <c r="B106" i="3"/>
  <c r="B107" i="4"/>
  <c r="B105" i="18"/>
  <c r="J106" i="4"/>
  <c r="J100" i="29"/>
  <c r="J106" i="3"/>
  <c r="J102" i="23"/>
  <c r="J102" i="22"/>
  <c r="J105" i="18"/>
  <c r="J97" i="13"/>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B107" i="3"/>
  <c r="D17" i="1"/>
  <c r="E17" i="1"/>
  <c r="I10" i="18"/>
  <c r="D95" i="18" s="1"/>
  <c r="I10" i="22"/>
  <c r="D93" i="22" s="1"/>
  <c r="B104" i="22" s="1"/>
  <c r="I10" i="26"/>
  <c r="I10" i="29"/>
  <c r="D95" i="29" s="1"/>
  <c r="E100" i="13"/>
  <c r="B100" i="34"/>
  <c r="B103" i="22"/>
  <c r="E18" i="1"/>
  <c r="E39" i="17"/>
  <c r="B100" i="35"/>
  <c r="J95" i="27"/>
  <c r="J96" i="27" s="1"/>
  <c r="C128" i="24"/>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B24" i="18"/>
  <c r="B21" i="26"/>
  <c r="B20" i="25"/>
  <c r="B18" i="35"/>
  <c r="O20" i="4"/>
  <c r="P39" i="17"/>
  <c r="P101" i="18"/>
  <c r="P103" i="3"/>
  <c r="P103" i="4"/>
  <c r="C100" i="3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B100" i="31"/>
  <c r="P103" i="21"/>
  <c r="B106" i="18"/>
  <c r="B105" i="21"/>
  <c r="B101" i="35"/>
  <c r="B107" i="19"/>
  <c r="B105" i="27"/>
  <c r="B108" i="4"/>
  <c r="B26" i="3"/>
  <c r="B25" i="19"/>
  <c r="B101" i="34"/>
  <c r="B105" i="28"/>
  <c r="B22" i="22"/>
  <c r="B25" i="18"/>
  <c r="J100" i="31"/>
  <c r="B23" i="21"/>
  <c r="B23" i="24"/>
  <c r="B22" i="23"/>
  <c r="B22" i="26"/>
  <c r="B26" i="4"/>
  <c r="B104" i="26"/>
  <c r="J102" i="25"/>
  <c r="J104" i="24"/>
  <c r="J100" i="35"/>
  <c r="J107" i="4"/>
  <c r="I18" i="34"/>
  <c r="B23" i="28"/>
  <c r="I19" i="29"/>
  <c r="J101" i="29"/>
  <c r="I18" i="31"/>
  <c r="I25" i="4"/>
  <c r="J103" i="22"/>
  <c r="I17" i="37"/>
  <c r="J104" i="21"/>
  <c r="I25" i="3"/>
  <c r="J100" i="34"/>
  <c r="J107" i="3"/>
  <c r="J106" i="18"/>
  <c r="P100" i="35"/>
  <c r="P100" i="34"/>
  <c r="B101" i="31"/>
  <c r="B105" i="24"/>
  <c r="B103" i="25"/>
  <c r="I18" i="35"/>
  <c r="B19" i="34"/>
  <c r="J95" i="20"/>
  <c r="J96" i="20" s="1"/>
  <c r="J95" i="29"/>
  <c r="J96" i="29" s="1"/>
  <c r="F52" i="2"/>
  <c r="J96" i="31"/>
  <c r="J95" i="18"/>
  <c r="J96" i="18" s="1"/>
  <c r="J95" i="38"/>
  <c r="J95" i="34"/>
  <c r="J96" i="34" s="1"/>
  <c r="J95" i="28"/>
  <c r="J96" i="28" s="1"/>
  <c r="J95" i="4"/>
  <c r="J96" i="4" s="1"/>
  <c r="J95" i="37"/>
  <c r="J96" i="37" s="1"/>
  <c r="J95" i="3"/>
  <c r="J96" i="3" s="1"/>
  <c r="J95" i="23"/>
  <c r="J96" i="23" s="1"/>
  <c r="J95" i="19"/>
  <c r="J95" i="22"/>
  <c r="J96" i="22" s="1"/>
  <c r="J95" i="24"/>
  <c r="J96" i="24" s="1"/>
  <c r="J95" i="26"/>
  <c r="J96" i="26" s="1"/>
  <c r="J95" i="35"/>
  <c r="J96" i="35" s="1"/>
  <c r="J95" i="25"/>
  <c r="J96" i="25" s="1"/>
  <c r="J95" i="21"/>
  <c r="J96" i="21" s="1"/>
  <c r="J95" i="13"/>
  <c r="J96" i="13" s="1"/>
  <c r="J96" i="19"/>
  <c r="N46" i="17"/>
  <c r="C46" i="17"/>
  <c r="O46" i="17"/>
  <c r="E46" i="17"/>
  <c r="F46" i="17"/>
  <c r="O17" i="26" l="1"/>
  <c r="P103" i="23"/>
  <c r="O18" i="19"/>
  <c r="O17" i="4"/>
  <c r="O17" i="20"/>
  <c r="O18" i="29"/>
  <c r="F17" i="13"/>
  <c r="D18" i="13" s="1"/>
  <c r="B18" i="13" s="1"/>
  <c r="O19" i="3"/>
  <c r="P102" i="4"/>
  <c r="O18" i="24"/>
  <c r="P101" i="28"/>
  <c r="O22" i="3"/>
  <c r="O22" i="4"/>
  <c r="O18" i="23"/>
  <c r="P100" i="23"/>
  <c r="O19" i="27"/>
  <c r="P102" i="27"/>
  <c r="O23" i="18"/>
  <c r="P102" i="22"/>
  <c r="P103" i="27"/>
  <c r="C101" i="37"/>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O25" i="3"/>
  <c r="T12" i="17"/>
  <c r="D8" i="19"/>
  <c r="D91" i="19" s="1"/>
  <c r="P102" i="18"/>
  <c r="P104" i="3"/>
  <c r="O21" i="18"/>
  <c r="O19" i="28"/>
  <c r="P101" i="25"/>
  <c r="P104" i="21"/>
  <c r="O21" i="26"/>
  <c r="P104" i="28"/>
  <c r="O18" i="21"/>
  <c r="O17" i="24"/>
  <c r="O17" i="27"/>
  <c r="P104" i="4"/>
  <c r="O22" i="21"/>
  <c r="P102" i="25"/>
  <c r="C28" i="2"/>
  <c r="O72" i="13"/>
  <c r="D94" i="23"/>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D95" i="4"/>
  <c r="I12" i="20"/>
  <c r="I13" i="20" s="1"/>
  <c r="I12" i="39"/>
  <c r="D95" i="23"/>
  <c r="D93" i="18"/>
  <c r="B107" i="18" s="1"/>
  <c r="C59" i="1"/>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I12" i="26"/>
  <c r="I13" i="26" s="1"/>
  <c r="O42" i="37"/>
  <c r="O52" i="37"/>
  <c r="O54" i="37"/>
  <c r="O64" i="34"/>
  <c r="O21" i="27"/>
  <c r="O21" i="22"/>
  <c r="O24" i="19"/>
  <c r="C59" i="2"/>
  <c r="C77" i="2"/>
  <c r="C50" i="2"/>
  <c r="C14" i="2"/>
  <c r="O18" i="35"/>
  <c r="O18" i="34"/>
  <c r="O18" i="31"/>
  <c r="O25" i="4"/>
  <c r="B108" i="3"/>
  <c r="D94" i="18"/>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O17" i="37"/>
  <c r="O50" i="19"/>
  <c r="O29" i="19"/>
  <c r="O46" i="35"/>
  <c r="O33" i="21"/>
  <c r="O36" i="35"/>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6" i="1"/>
  <c r="F50" i="1" s="1"/>
  <c r="D95" i="20"/>
  <c r="E100" i="20"/>
  <c r="F100" i="20" s="1"/>
  <c r="O30" i="23"/>
  <c r="O52" i="23"/>
  <c r="O54" i="23"/>
  <c r="O66" i="23"/>
  <c r="O28" i="24"/>
  <c r="O62" i="24"/>
  <c r="O72" i="24"/>
  <c r="O24" i="25"/>
  <c r="O26" i="25"/>
  <c r="O28" i="25"/>
  <c r="O30" i="25"/>
  <c r="O36" i="25"/>
  <c r="O38" i="25"/>
  <c r="O44" i="25"/>
  <c r="O64" i="25"/>
  <c r="O66" i="25"/>
  <c r="O68" i="25"/>
  <c r="O70" i="25"/>
  <c r="O25" i="26"/>
  <c r="O41" i="26"/>
  <c r="O43" i="26"/>
  <c r="O53" i="26"/>
  <c r="O48" i="27"/>
  <c r="O21" i="37"/>
  <c r="O27" i="37"/>
  <c r="O73" i="37"/>
  <c r="O69" i="38"/>
  <c r="C48" i="1"/>
  <c r="C71" i="1"/>
  <c r="C74"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4" i="1"/>
  <c r="C28" i="1"/>
  <c r="C77" i="1"/>
  <c r="C57" i="1"/>
  <c r="D94" i="25"/>
  <c r="F14" i="1"/>
  <c r="E19" i="1" s="1"/>
  <c r="F19" i="1" s="1"/>
  <c r="C76" i="1"/>
  <c r="C79" i="1"/>
  <c r="C8" i="1"/>
  <c r="F18" i="1"/>
  <c r="C73" i="1"/>
  <c r="C53" i="1"/>
  <c r="C14" i="1"/>
  <c r="C22" i="1"/>
  <c r="C60" i="1"/>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4" i="35"/>
  <c r="O26" i="35"/>
  <c r="O28" i="35"/>
  <c r="J39" i="17"/>
  <c r="K18" i="17" s="1"/>
  <c r="P119" i="35"/>
  <c r="P123" i="35"/>
  <c r="P127" i="35"/>
  <c r="P131" i="35"/>
  <c r="P115" i="35"/>
  <c r="P103" i="35"/>
  <c r="P107" i="35"/>
  <c r="P111" i="35"/>
  <c r="P110" i="38"/>
  <c r="P112" i="31"/>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5" i="22"/>
  <c r="O27" i="22"/>
  <c r="O48" i="22"/>
  <c r="O50" i="22"/>
  <c r="O62" i="22"/>
  <c r="O64" i="22"/>
  <c r="O66" i="22"/>
  <c r="O27" i="28"/>
  <c r="O39" i="28"/>
  <c r="O41" i="28"/>
  <c r="O45" i="28"/>
  <c r="O47" i="28"/>
  <c r="O51" i="28"/>
  <c r="O53" i="28"/>
  <c r="O57" i="28"/>
  <c r="O61" i="28"/>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F84" i="1"/>
  <c r="F85" i="1" s="1"/>
  <c r="F87" i="1" s="1"/>
  <c r="F88" i="1" s="1"/>
  <c r="O26" i="38"/>
  <c r="O28" i="38"/>
  <c r="O30" i="38"/>
  <c r="O40" i="38"/>
  <c r="O44" i="38"/>
  <c r="O48" i="38"/>
  <c r="O50" i="38"/>
  <c r="O52" i="38"/>
  <c r="O54" i="38"/>
  <c r="O56" i="38"/>
  <c r="O58" i="38"/>
  <c r="O60" i="38"/>
  <c r="O62" i="38"/>
  <c r="O64" i="38"/>
  <c r="O68" i="38"/>
  <c r="O70" i="38"/>
  <c r="O72" i="38"/>
  <c r="P116" i="21"/>
  <c r="P107" i="21"/>
  <c r="P131" i="31"/>
  <c r="O72" i="3"/>
  <c r="O66" i="3"/>
  <c r="O64" i="3"/>
  <c r="O56" i="3"/>
  <c r="O52" i="3"/>
  <c r="O29"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09" i="24"/>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12"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06" i="29"/>
  <c r="P123" i="31"/>
  <c r="P127" i="31"/>
  <c r="P133" i="31"/>
  <c r="P135" i="31"/>
  <c r="P139" i="31"/>
  <c r="P129" i="13"/>
  <c r="P125" i="13"/>
  <c r="P121" i="13"/>
  <c r="P117" i="13"/>
  <c r="P113" i="13"/>
  <c r="P109" i="13"/>
  <c r="P103" i="13"/>
  <c r="P153" i="21"/>
  <c r="P145" i="21"/>
  <c r="P120" i="31"/>
  <c r="P127" i="37"/>
  <c r="P115" i="3"/>
  <c r="P111" i="3"/>
  <c r="P122" i="31"/>
  <c r="P120" i="13"/>
  <c r="P105" i="34"/>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3" i="23"/>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7"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28" i="4"/>
  <c r="O73" i="18"/>
  <c r="O61" i="18"/>
  <c r="O45" i="18"/>
  <c r="O72" i="20"/>
  <c r="O58" i="20"/>
  <c r="O56" i="20"/>
  <c r="O52" i="20"/>
  <c r="O73" i="21"/>
  <c r="O69" i="21"/>
  <c r="O65" i="21"/>
  <c r="O55" i="21"/>
  <c r="O49" i="21"/>
  <c r="O47" i="21"/>
  <c r="O45" i="21"/>
  <c r="O41" i="21"/>
  <c r="O39" i="21"/>
  <c r="O35" i="21"/>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27" i="35"/>
  <c r="O37" i="35"/>
  <c r="O71" i="35"/>
  <c r="O66" i="38"/>
  <c r="O71" i="3"/>
  <c r="O69" i="3"/>
  <c r="O67" i="3"/>
  <c r="O63" i="3"/>
  <c r="O61" i="3"/>
  <c r="O59" i="3"/>
  <c r="O47" i="3"/>
  <c r="O30" i="3"/>
  <c r="O72" i="19"/>
  <c r="O26" i="31"/>
  <c r="O36" i="31"/>
  <c r="O49" i="31"/>
  <c r="O61" i="31"/>
  <c r="O59" i="35"/>
  <c r="O24" i="38"/>
  <c r="O36" i="38"/>
  <c r="O26" i="18"/>
  <c r="O27" i="19"/>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61" i="21"/>
  <c r="O59" i="21"/>
  <c r="O51" i="21"/>
  <c r="O30" i="21"/>
  <c r="O24" i="21"/>
  <c r="O24" i="22"/>
  <c r="O26" i="22"/>
  <c r="O28" i="22"/>
  <c r="O63" i="22"/>
  <c r="O73" i="22"/>
  <c r="O47" i="24"/>
  <c r="O51" i="24"/>
  <c r="O73" i="24"/>
  <c r="O63" i="25"/>
  <c r="O36" i="26"/>
  <c r="O68" i="26"/>
  <c r="O70" i="26"/>
  <c r="O26" i="28"/>
  <c r="O42" i="28"/>
  <c r="O44" i="28"/>
  <c r="O50" i="28"/>
  <c r="O56" i="31"/>
  <c r="O62" i="31"/>
  <c r="O70" i="31"/>
  <c r="O33" i="18"/>
  <c r="O31" i="18"/>
  <c r="O32" i="23"/>
  <c r="O32" i="29"/>
  <c r="O18" i="37"/>
  <c r="O22" i="37"/>
  <c r="O24" i="37"/>
  <c r="O26" i="37"/>
  <c r="O28" i="37"/>
  <c r="O63" i="24"/>
  <c r="O69" i="24"/>
  <c r="O29" i="25"/>
  <c r="O35" i="25"/>
  <c r="O39" i="25"/>
  <c r="O47" i="25"/>
  <c r="O69" i="25"/>
  <c r="O28" i="26"/>
  <c r="O40" i="26"/>
  <c r="O48" i="28"/>
  <c r="O62" i="28"/>
  <c r="O20" i="38"/>
  <c r="O58" i="4"/>
  <c r="O54" i="4"/>
  <c r="O34" i="4"/>
  <c r="O31" i="4"/>
  <c r="O46" i="21"/>
  <c r="O44" i="21"/>
  <c r="O42" i="21"/>
  <c r="O23" i="22"/>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28"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5" i="24"/>
  <c r="O22" i="25"/>
  <c r="O34" i="25"/>
  <c r="O42" i="25"/>
  <c r="O56" i="25"/>
  <c r="O58" i="25"/>
  <c r="O27" i="26"/>
  <c r="O29" i="26"/>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E18" i="13"/>
  <c r="F18" i="13" s="1"/>
  <c r="I12" i="38"/>
  <c r="I13" i="38" s="1"/>
  <c r="I12" i="37"/>
  <c r="I13" i="37" s="1"/>
  <c r="I12" i="28"/>
  <c r="I13" i="28" s="1"/>
  <c r="I12" i="31"/>
  <c r="I13" i="31" s="1"/>
  <c r="I12" i="24"/>
  <c r="I12" i="3"/>
  <c r="I13" i="3" s="1"/>
  <c r="I12" i="27"/>
  <c r="I13" i="27" s="1"/>
  <c r="I12" i="22"/>
  <c r="I13" i="22" s="1"/>
  <c r="I12" i="35"/>
  <c r="I13" i="35" s="1"/>
  <c r="I12" i="25"/>
  <c r="I13" i="25" s="1"/>
  <c r="I12" i="4"/>
  <c r="I13" i="4" s="1"/>
  <c r="I12" i="23"/>
  <c r="I13" i="23" s="1"/>
  <c r="I12" i="34"/>
  <c r="I13" i="34" s="1"/>
  <c r="I12" i="29"/>
  <c r="I13" i="29" s="1"/>
  <c r="I12" i="18"/>
  <c r="I13" i="18" s="1"/>
  <c r="I12" i="19"/>
  <c r="I13" i="19" s="1"/>
  <c r="I12" i="13"/>
  <c r="N5" i="37"/>
  <c r="N6" i="37"/>
  <c r="A4" i="1"/>
  <c r="A2" i="1"/>
  <c r="A2" i="2" s="1"/>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57" i="27"/>
  <c r="O72" i="27"/>
  <c r="O43" i="28"/>
  <c r="O52" i="28"/>
  <c r="O56" i="28"/>
  <c r="O65" i="28"/>
  <c r="O67" i="28"/>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B100" i="38"/>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B19" i="35"/>
  <c r="B21" i="25"/>
  <c r="B18" i="37"/>
  <c r="B23" i="27"/>
  <c r="B19" i="31"/>
  <c r="D94" i="22"/>
  <c r="C100" i="22" s="1"/>
  <c r="D95" i="22"/>
  <c r="P100" i="3"/>
  <c r="D100" i="20"/>
  <c r="B100" i="20" s="1"/>
  <c r="O17" i="28"/>
  <c r="P101" i="13"/>
  <c r="P120" i="19"/>
  <c r="P108" i="19"/>
  <c r="P103" i="20"/>
  <c r="P146" i="21"/>
  <c r="P142" i="21"/>
  <c r="P104" i="13"/>
  <c r="A9" i="17"/>
  <c r="P131" i="18"/>
  <c r="P127" i="18"/>
  <c r="P119" i="18"/>
  <c r="P115" i="18"/>
  <c r="P155" i="19"/>
  <c r="P151" i="19"/>
  <c r="P147" i="19"/>
  <c r="P143" i="19"/>
  <c r="P139" i="19"/>
  <c r="P135" i="19"/>
  <c r="P131" i="19"/>
  <c r="P115" i="19"/>
  <c r="P151" i="20"/>
  <c r="P115" i="20"/>
  <c r="P114" i="18"/>
  <c r="P110" i="18"/>
  <c r="P150" i="19"/>
  <c r="P146" i="19"/>
  <c r="P142" i="19"/>
  <c r="P130" i="19"/>
  <c r="P106" i="20"/>
  <c r="P133" i="21"/>
  <c r="P12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D96" i="39" s="1"/>
  <c r="J97" i="39" s="1"/>
  <c r="P110" i="28"/>
  <c r="P130" i="31"/>
  <c r="P134" i="31"/>
  <c r="P146" i="31"/>
  <c r="P128" i="37"/>
  <c r="P101" i="38"/>
  <c r="P147" i="31"/>
  <c r="P155" i="3"/>
  <c r="P143" i="3"/>
  <c r="P139" i="3"/>
  <c r="P135" i="3"/>
  <c r="P131" i="3"/>
  <c r="P154" i="20"/>
  <c r="P142" i="20"/>
  <c r="P138" i="20"/>
  <c r="P134" i="20"/>
  <c r="P130" i="20"/>
  <c r="P126" i="20"/>
  <c r="P122" i="20"/>
  <c r="P118" i="20"/>
  <c r="P114" i="20"/>
  <c r="P110" i="20"/>
  <c r="P122" i="21"/>
  <c r="P118" i="21"/>
  <c r="P106" i="21"/>
  <c r="P108" i="22"/>
  <c r="P112" i="22"/>
  <c r="P116" i="23"/>
  <c r="P120" i="23"/>
  <c r="P124" i="23"/>
  <c r="P128" i="23"/>
  <c r="P107" i="25"/>
  <c r="P111" i="25"/>
  <c r="P115" i="25"/>
  <c r="P111" i="26"/>
  <c r="P115" i="26"/>
  <c r="P119" i="26"/>
  <c r="P127" i="26"/>
  <c r="P131" i="26"/>
  <c r="P105" i="31"/>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26" i="31"/>
  <c r="P150" i="31"/>
  <c r="P154" i="31"/>
  <c r="P105" i="35"/>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12" i="3"/>
  <c r="P155" i="4"/>
  <c r="P151" i="4"/>
  <c r="P147" i="4"/>
  <c r="P143" i="4"/>
  <c r="P139" i="4"/>
  <c r="P135" i="4"/>
  <c r="P131" i="4"/>
  <c r="P127" i="4"/>
  <c r="P123" i="4"/>
  <c r="P119" i="4"/>
  <c r="P115" i="4"/>
  <c r="P111" i="4"/>
  <c r="P147" i="20"/>
  <c r="P143" i="20"/>
  <c r="P127" i="21"/>
  <c r="P115" i="21"/>
  <c r="P106" i="26"/>
  <c r="P118" i="26"/>
  <c r="P108" i="27"/>
  <c r="P126" i="29"/>
  <c r="P119" i="37"/>
  <c r="P116" i="4"/>
  <c r="P152" i="19"/>
  <c r="P148" i="19"/>
  <c r="P140" i="19"/>
  <c r="P136" i="19"/>
  <c r="P128" i="19"/>
  <c r="P116" i="19"/>
  <c r="P144" i="20"/>
  <c r="P106" i="22"/>
  <c r="P114" i="23"/>
  <c r="P122" i="23"/>
  <c r="P126" i="23"/>
  <c r="P130" i="23"/>
  <c r="P110" i="24"/>
  <c r="P109" i="26"/>
  <c r="P113" i="26"/>
  <c r="P125" i="26"/>
  <c r="P131" i="28"/>
  <c r="P107" i="31"/>
  <c r="P111" i="31"/>
  <c r="P116" i="37"/>
  <c r="P120" i="37"/>
  <c r="P108" i="38"/>
  <c r="P112" i="38"/>
  <c r="P124" i="38"/>
  <c r="P128" i="18"/>
  <c r="P124" i="18"/>
  <c r="P120" i="18"/>
  <c r="P116" i="18"/>
  <c r="P112" i="18"/>
  <c r="P108" i="18"/>
  <c r="P127" i="24"/>
  <c r="P143" i="31"/>
  <c r="P121" i="35"/>
  <c r="P124" i="13"/>
  <c r="P116" i="13"/>
  <c r="P108" i="13"/>
  <c r="P111" i="19"/>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14" i="28"/>
  <c r="P107" i="29"/>
  <c r="P148" i="31"/>
  <c r="P152" i="31"/>
  <c r="P142" i="3"/>
  <c r="P118" i="3"/>
  <c r="P149" i="4"/>
  <c r="P113" i="4"/>
  <c r="P102" i="13"/>
  <c r="P153" i="18"/>
  <c r="P149" i="18"/>
  <c r="P129" i="18"/>
  <c r="P121" i="18"/>
  <c r="P117" i="18"/>
  <c r="P137" i="19"/>
  <c r="P133" i="19"/>
  <c r="P129" i="19"/>
  <c r="P125" i="19"/>
  <c r="P113" i="19"/>
  <c r="P129" i="21"/>
  <c r="P117" i="21"/>
  <c r="P108" i="26"/>
  <c r="P116" i="26"/>
  <c r="P119" i="28"/>
  <c r="P128" i="4"/>
  <c r="P121" i="19"/>
  <c r="P110" i="19"/>
  <c r="P154" i="21"/>
  <c r="P147" i="21"/>
  <c r="P143" i="21"/>
  <c r="P131" i="21"/>
  <c r="P113" i="21"/>
  <c r="P109"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15" i="37"/>
  <c r="P126" i="3"/>
  <c r="P122" i="3"/>
  <c r="P114" i="3"/>
  <c r="P153" i="4"/>
  <c r="P145" i="4"/>
  <c r="P141" i="4"/>
  <c r="P137" i="4"/>
  <c r="P133" i="4"/>
  <c r="P125" i="4"/>
  <c r="P109" i="4"/>
  <c r="P151" i="18"/>
  <c r="P147" i="18"/>
  <c r="P143" i="18"/>
  <c r="P139" i="18"/>
  <c r="P135" i="18"/>
  <c r="P138" i="19"/>
  <c r="P118" i="19"/>
  <c r="P121" i="21"/>
  <c r="P128" i="22"/>
  <c r="P108" i="23"/>
  <c r="P112" i="23"/>
  <c r="P105" i="26"/>
  <c r="P126" i="26"/>
  <c r="P111" i="28"/>
  <c r="P115" i="28"/>
  <c r="P111" i="34"/>
  <c r="P115" i="34"/>
  <c r="P127" i="34"/>
  <c r="P131" i="34"/>
  <c r="P124" i="35"/>
  <c r="P128" i="35"/>
  <c r="P104" i="38"/>
  <c r="P117" i="19"/>
  <c r="P116" i="22"/>
  <c r="P120" i="22"/>
  <c r="P124" i="22"/>
  <c r="P117" i="27"/>
  <c r="P124" i="28"/>
  <c r="P104" i="37"/>
  <c r="P108" i="37"/>
  <c r="P112" i="37"/>
  <c r="P107" i="38"/>
  <c r="P111" i="38"/>
  <c r="J96" i="38"/>
  <c r="F18" i="2"/>
  <c r="P121" i="28"/>
  <c r="P145" i="18"/>
  <c r="P137" i="18"/>
  <c r="P133" i="18"/>
  <c r="P113" i="22"/>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D95" i="35"/>
  <c r="D94" i="35"/>
  <c r="C128" i="34"/>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P111" i="23"/>
  <c r="P107" i="22"/>
  <c r="P118" i="23"/>
  <c r="C100" i="25"/>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C32" i="17"/>
  <c r="C37" i="17"/>
  <c r="C29" i="17"/>
  <c r="C19" i="17"/>
  <c r="C31" i="17"/>
  <c r="C23" i="17"/>
  <c r="C36" i="17"/>
  <c r="C21" i="17"/>
  <c r="C20" i="17"/>
  <c r="C35" i="17"/>
  <c r="C34" i="17"/>
  <c r="C18" i="17"/>
  <c r="C22" i="17"/>
  <c r="C30" i="17"/>
  <c r="C24" i="17"/>
  <c r="C33" i="17"/>
  <c r="C28" i="17"/>
  <c r="C26" i="17"/>
  <c r="C27" i="17"/>
  <c r="C25" i="17"/>
  <c r="F89" i="1" l="1"/>
  <c r="D13" i="21" s="1"/>
  <c r="C33" i="21" s="1"/>
  <c r="C34" i="21" s="1"/>
  <c r="C35" i="21" s="1"/>
  <c r="C36" i="21" s="1"/>
  <c r="C37" i="21" s="1"/>
  <c r="C38" i="21" s="1"/>
  <c r="C39" i="21" s="1"/>
  <c r="C40" i="21" s="1"/>
  <c r="C41" i="21" s="1"/>
  <c r="C42" i="21" s="1"/>
  <c r="C43" i="21" s="1"/>
  <c r="C44" i="21" s="1"/>
  <c r="C45" i="21" s="1"/>
  <c r="I13" i="39"/>
  <c r="K37" i="17"/>
  <c r="L37" i="17" s="1"/>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01" i="22"/>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K21" i="17"/>
  <c r="K20" i="17"/>
  <c r="K32" i="17"/>
  <c r="K35" i="17"/>
  <c r="K24" i="17"/>
  <c r="K33" i="17"/>
  <c r="K19" i="17"/>
  <c r="K30" i="17"/>
  <c r="K25" i="17"/>
  <c r="K34" i="17"/>
  <c r="K28" i="17"/>
  <c r="K31" i="17"/>
  <c r="K26" i="17"/>
  <c r="K27" i="17"/>
  <c r="K29" i="17"/>
  <c r="K36" i="17"/>
  <c r="K23" i="17"/>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N7" i="37"/>
  <c r="F20" i="1"/>
  <c r="E25" i="1" s="1"/>
  <c r="E26" i="1" s="1"/>
  <c r="E30" i="1" s="1"/>
  <c r="I13" i="13"/>
  <c r="G17" i="13"/>
  <c r="I13" i="24"/>
  <c r="D19" i="13"/>
  <c r="G18" i="13"/>
  <c r="D96" i="27"/>
  <c r="J97" i="27" s="1"/>
  <c r="D96" i="24"/>
  <c r="J97" i="24" s="1"/>
  <c r="D96" i="29"/>
  <c r="J97" i="29" s="1"/>
  <c r="D96" i="23"/>
  <c r="J97" i="23" s="1"/>
  <c r="D96" i="21"/>
  <c r="J97" i="21" s="1"/>
  <c r="D96" i="18"/>
  <c r="J97" i="18" s="1"/>
  <c r="D96" i="20"/>
  <c r="D96" i="38"/>
  <c r="J97" i="38" s="1"/>
  <c r="D96" i="13"/>
  <c r="D96" i="34"/>
  <c r="J97" i="34" s="1"/>
  <c r="E104" i="34" s="1"/>
  <c r="F104" i="34" s="1"/>
  <c r="D96" i="22"/>
  <c r="J97" i="22" s="1"/>
  <c r="D96" i="3"/>
  <c r="J97" i="3" s="1"/>
  <c r="D96" i="4"/>
  <c r="J97" i="4" s="1"/>
  <c r="D96" i="31"/>
  <c r="J97" i="31" s="1"/>
  <c r="D96" i="37"/>
  <c r="J97" i="37" s="1"/>
  <c r="E103" i="37" s="1"/>
  <c r="F103" i="37" s="1"/>
  <c r="D96" i="35"/>
  <c r="J97" i="35" s="1"/>
  <c r="D96" i="26"/>
  <c r="J97" i="26" s="1"/>
  <c r="D96" i="28"/>
  <c r="J97" i="28" s="1"/>
  <c r="D96" i="19"/>
  <c r="J97" i="19" s="1"/>
  <c r="D96" i="25"/>
  <c r="J97" i="25" s="1"/>
  <c r="G100" i="20"/>
  <c r="D101" i="20"/>
  <c r="E101" i="20"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G103" i="37" l="1"/>
  <c r="H103" i="37"/>
  <c r="G104" i="34"/>
  <c r="H104" i="34"/>
  <c r="D13" i="19"/>
  <c r="C33" i="19" s="1"/>
  <c r="C34" i="19" s="1"/>
  <c r="C35" i="19" s="1"/>
  <c r="C36" i="19" s="1"/>
  <c r="C37" i="19" s="1"/>
  <c r="C38" i="19" s="1"/>
  <c r="C39" i="19" s="1"/>
  <c r="C40" i="19" s="1"/>
  <c r="C41" i="19" s="1"/>
  <c r="C42" i="19" s="1"/>
  <c r="C43" i="19" s="1"/>
  <c r="C44" i="19" s="1"/>
  <c r="C45" i="19" s="1"/>
  <c r="D13" i="18"/>
  <c r="C33" i="18" s="1"/>
  <c r="C34" i="18" s="1"/>
  <c r="C35" i="18" s="1"/>
  <c r="C36" i="18" s="1"/>
  <c r="C37" i="18" s="1"/>
  <c r="C38" i="18" s="1"/>
  <c r="C39" i="18" s="1"/>
  <c r="C40" i="18" s="1"/>
  <c r="C41" i="18" s="1"/>
  <c r="C42" i="18" s="1"/>
  <c r="C43" i="18" s="1"/>
  <c r="C44" i="18" s="1"/>
  <c r="C45" i="18" s="1"/>
  <c r="D13" i="27"/>
  <c r="I14" i="27" s="1"/>
  <c r="D13" i="38"/>
  <c r="C73" i="38" s="1"/>
  <c r="D13" i="24"/>
  <c r="D13" i="34"/>
  <c r="I14" i="34" s="1"/>
  <c r="D13" i="37"/>
  <c r="I14" i="37" s="1"/>
  <c r="D13" i="20"/>
  <c r="D13" i="35"/>
  <c r="C73" i="35" s="1"/>
  <c r="D13" i="25"/>
  <c r="I14" i="25" s="1"/>
  <c r="D13" i="23"/>
  <c r="D13" i="28"/>
  <c r="I14" i="28" s="1"/>
  <c r="E23" i="28" s="1"/>
  <c r="D13" i="29"/>
  <c r="C33" i="29" s="1"/>
  <c r="C34" i="29" s="1"/>
  <c r="C35" i="29" s="1"/>
  <c r="C36" i="29" s="1"/>
  <c r="C37" i="29" s="1"/>
  <c r="C38" i="29" s="1"/>
  <c r="C39" i="29" s="1"/>
  <c r="C40" i="29" s="1"/>
  <c r="C41" i="29" s="1"/>
  <c r="C42" i="29" s="1"/>
  <c r="C43" i="29" s="1"/>
  <c r="C44" i="29" s="1"/>
  <c r="C45" i="29" s="1"/>
  <c r="C73" i="37"/>
  <c r="D13" i="39"/>
  <c r="D13" i="26"/>
  <c r="C73" i="34"/>
  <c r="I14" i="21"/>
  <c r="D13" i="13"/>
  <c r="C73" i="13" s="1"/>
  <c r="D13" i="4"/>
  <c r="I14" i="4" s="1"/>
  <c r="D13" i="22"/>
  <c r="D13" i="31"/>
  <c r="D13" i="3"/>
  <c r="E101" i="39"/>
  <c r="D101" i="39"/>
  <c r="L100" i="38"/>
  <c r="M100" i="38" s="1"/>
  <c r="N100" i="38"/>
  <c r="O100" i="38" s="1"/>
  <c r="P100" i="38" s="1"/>
  <c r="I14" i="19"/>
  <c r="I14" i="35"/>
  <c r="I14" i="18"/>
  <c r="E32" i="1"/>
  <c r="E33" i="1" s="1"/>
  <c r="E35" i="1" s="1"/>
  <c r="F52" i="1" s="1"/>
  <c r="F51" i="1"/>
  <c r="I14" i="24"/>
  <c r="C33" i="24"/>
  <c r="C34" i="24" s="1"/>
  <c r="C35" i="24" s="1"/>
  <c r="C36" i="24" s="1"/>
  <c r="C37" i="24" s="1"/>
  <c r="C38" i="24" s="1"/>
  <c r="C39" i="24" s="1"/>
  <c r="C40" i="24" s="1"/>
  <c r="C41" i="24" s="1"/>
  <c r="C42" i="24" s="1"/>
  <c r="C43" i="24" s="1"/>
  <c r="C44" i="24" s="1"/>
  <c r="C45" i="24" s="1"/>
  <c r="C33" i="27"/>
  <c r="C34" i="27" s="1"/>
  <c r="C35" i="27" s="1"/>
  <c r="C36" i="27" s="1"/>
  <c r="C37" i="27" s="1"/>
  <c r="C38" i="27" s="1"/>
  <c r="C39" i="27" s="1"/>
  <c r="C40" i="27" s="1"/>
  <c r="C41" i="27" s="1"/>
  <c r="C42" i="27" s="1"/>
  <c r="C43" i="27" s="1"/>
  <c r="C44" i="27" s="1"/>
  <c r="C45" i="27" s="1"/>
  <c r="N5" i="27" s="1"/>
  <c r="I14" i="23"/>
  <c r="C33" i="23"/>
  <c r="C34" i="23" s="1"/>
  <c r="C35" i="23" s="1"/>
  <c r="C36" i="23" s="1"/>
  <c r="C37" i="23" s="1"/>
  <c r="C38" i="23" s="1"/>
  <c r="C39" i="23" s="1"/>
  <c r="C40" i="23" s="1"/>
  <c r="C41" i="23" s="1"/>
  <c r="C42" i="23" s="1"/>
  <c r="C43" i="23" s="1"/>
  <c r="C44" i="23" s="1"/>
  <c r="C45" i="23" s="1"/>
  <c r="G100" i="13"/>
  <c r="D101" i="13"/>
  <c r="I18" i="20"/>
  <c r="B20" i="20"/>
  <c r="H19" i="20"/>
  <c r="G19" i="20"/>
  <c r="E20" i="20"/>
  <c r="F20" i="20" s="1"/>
  <c r="H20" i="20" s="1"/>
  <c r="B19" i="13"/>
  <c r="H17" i="13"/>
  <c r="I17" i="13" s="1"/>
  <c r="H18" i="13"/>
  <c r="E19" i="13"/>
  <c r="F19" i="13" s="1"/>
  <c r="C46" i="2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N5" i="21"/>
  <c r="N6" i="21"/>
  <c r="N5" i="29"/>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N6" i="29"/>
  <c r="B21" i="20"/>
  <c r="C46" i="18"/>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C46" i="19"/>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B101" i="20"/>
  <c r="F101" i="20"/>
  <c r="H100" i="20"/>
  <c r="I100" i="20"/>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I14" i="38" l="1"/>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I14" i="29"/>
  <c r="C33" i="25"/>
  <c r="C34" i="25" s="1"/>
  <c r="C35" i="25" s="1"/>
  <c r="C36" i="25" s="1"/>
  <c r="C37" i="25" s="1"/>
  <c r="C38" i="25" s="1"/>
  <c r="C39" i="25" s="1"/>
  <c r="C40" i="25" s="1"/>
  <c r="C41" i="25" s="1"/>
  <c r="C33" i="4"/>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I14" i="22"/>
  <c r="C33" i="22"/>
  <c r="C34" i="22" s="1"/>
  <c r="C35" i="22" s="1"/>
  <c r="C36" i="22" s="1"/>
  <c r="C37" i="22" s="1"/>
  <c r="C38" i="22" s="1"/>
  <c r="C39" i="22" s="1"/>
  <c r="C40" i="22" s="1"/>
  <c r="C41" i="22" s="1"/>
  <c r="C42" i="22" s="1"/>
  <c r="C43" i="22" s="1"/>
  <c r="C44" i="22" s="1"/>
  <c r="C45" i="22" s="1"/>
  <c r="I14" i="3"/>
  <c r="C33" i="3"/>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I14" i="26"/>
  <c r="C33" i="26"/>
  <c r="C34" i="26" s="1"/>
  <c r="C35" i="26" s="1"/>
  <c r="C36" i="26" s="1"/>
  <c r="C37" i="26" s="1"/>
  <c r="C38" i="26" s="1"/>
  <c r="C39" i="26" s="1"/>
  <c r="C40" i="26" s="1"/>
  <c r="C41" i="26" s="1"/>
  <c r="C42" i="26" s="1"/>
  <c r="C43" i="26" s="1"/>
  <c r="C44" i="26" s="1"/>
  <c r="C45" i="26" s="1"/>
  <c r="C46" i="26" s="1"/>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C33" i="31"/>
  <c r="C34" i="31" s="1"/>
  <c r="C35" i="31" s="1"/>
  <c r="C36" i="31" s="1"/>
  <c r="C37" i="31" s="1"/>
  <c r="C38" i="31" s="1"/>
  <c r="C39" i="31" s="1"/>
  <c r="C40" i="31" s="1"/>
  <c r="C41" i="31" s="1"/>
  <c r="C42" i="31" s="1"/>
  <c r="C43" i="31" s="1"/>
  <c r="C44" i="31" s="1"/>
  <c r="C45" i="31" s="1"/>
  <c r="I14" i="31"/>
  <c r="I14" i="39"/>
  <c r="C73" i="39"/>
  <c r="J100" i="38"/>
  <c r="B101" i="38"/>
  <c r="B101" i="39"/>
  <c r="F101" i="39"/>
  <c r="H101" i="39" s="1"/>
  <c r="F53" i="1"/>
  <c r="F60" i="1" s="1"/>
  <c r="F63" i="1" s="1"/>
  <c r="F65" i="1" s="1"/>
  <c r="F67" i="1" s="1"/>
  <c r="C46" i="27"/>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J104" i="23"/>
  <c r="N6" i="27"/>
  <c r="N7" i="27" s="1"/>
  <c r="C46" i="24"/>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N5" i="24"/>
  <c r="N6" i="24"/>
  <c r="N6" i="23"/>
  <c r="N5" i="23"/>
  <c r="C46" i="23"/>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E101" i="13"/>
  <c r="F101" i="13" s="1"/>
  <c r="B101" i="13"/>
  <c r="H100" i="13"/>
  <c r="I100" i="13"/>
  <c r="I19" i="20"/>
  <c r="G20" i="20"/>
  <c r="I20" i="20" s="1"/>
  <c r="E21" i="20"/>
  <c r="F21" i="20" s="1"/>
  <c r="D20" i="13"/>
  <c r="E20" i="13" s="1"/>
  <c r="F20" i="13" s="1"/>
  <c r="D21" i="13" s="1"/>
  <c r="H19" i="13"/>
  <c r="N6" i="13" s="1"/>
  <c r="G19" i="13"/>
  <c r="N5" i="13" s="1"/>
  <c r="I18" i="13"/>
  <c r="B23" i="23"/>
  <c r="F23" i="28"/>
  <c r="E24" i="28" s="1"/>
  <c r="F24" i="28" s="1"/>
  <c r="N7" i="21"/>
  <c r="I22" i="23"/>
  <c r="N7" i="29"/>
  <c r="J100" i="20"/>
  <c r="B104" i="25"/>
  <c r="B108" i="19"/>
  <c r="G101" i="20"/>
  <c r="D102" i="20"/>
  <c r="B102" i="20" s="1"/>
  <c r="B105" i="22"/>
  <c r="B109" i="3"/>
  <c r="F29" i="17"/>
  <c r="F31" i="17"/>
  <c r="F23" i="17"/>
  <c r="H24" i="28" l="1"/>
  <c r="G24" i="28"/>
  <c r="E25" i="28"/>
  <c r="F25" i="28" s="1"/>
  <c r="N7" i="13"/>
  <c r="N5" i="31"/>
  <c r="N6" i="31"/>
  <c r="N7" i="31" s="1"/>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N5" i="22"/>
  <c r="C46" i="22"/>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N6" i="22"/>
  <c r="E19" i="39"/>
  <c r="F73" i="1"/>
  <c r="F74" i="1" s="1"/>
  <c r="M89" i="39"/>
  <c r="M90" i="39" s="1"/>
  <c r="L100" i="39"/>
  <c r="M100" i="39" s="1"/>
  <c r="D102" i="39"/>
  <c r="G101" i="39"/>
  <c r="E102" i="39"/>
  <c r="N100" i="39"/>
  <c r="O100" i="39" s="1"/>
  <c r="P100" i="39" s="1"/>
  <c r="J100" i="39"/>
  <c r="N20" i="37"/>
  <c r="O20" i="37" s="1"/>
  <c r="J105" i="23"/>
  <c r="N7" i="23"/>
  <c r="N7" i="24"/>
  <c r="D102" i="13"/>
  <c r="G101" i="13"/>
  <c r="J100" i="13"/>
  <c r="I23" i="23"/>
  <c r="E21" i="13"/>
  <c r="F21" i="13" s="1"/>
  <c r="B21" i="13"/>
  <c r="G29" i="17"/>
  <c r="I19" i="13"/>
  <c r="B20" i="13"/>
  <c r="H20" i="13"/>
  <c r="G20" i="13"/>
  <c r="G23" i="17"/>
  <c r="G31" i="17"/>
  <c r="G23" i="28"/>
  <c r="H23" i="28"/>
  <c r="I26" i="3"/>
  <c r="B27" i="3"/>
  <c r="B22" i="20"/>
  <c r="G21" i="20"/>
  <c r="H21" i="20"/>
  <c r="E22" i="20"/>
  <c r="F68" i="1"/>
  <c r="F69" i="1" s="1"/>
  <c r="F54" i="1" s="1"/>
  <c r="F55" i="1" s="1"/>
  <c r="F57" i="1" s="1"/>
  <c r="F76" i="1" s="1"/>
  <c r="F77" i="1" s="1"/>
  <c r="F79" i="1" s="1"/>
  <c r="B108" i="18"/>
  <c r="E102" i="20"/>
  <c r="F102" i="20" s="1"/>
  <c r="G102" i="20" s="1"/>
  <c r="B109" i="4"/>
  <c r="B101" i="37"/>
  <c r="L100" i="37"/>
  <c r="M100" i="37" s="1"/>
  <c r="N100" i="37"/>
  <c r="O100" i="37" s="1"/>
  <c r="B102" i="31"/>
  <c r="B102" i="35"/>
  <c r="B106" i="28"/>
  <c r="B105" i="26"/>
  <c r="I101" i="20"/>
  <c r="H101" i="20"/>
  <c r="B106" i="27"/>
  <c r="J107" i="19"/>
  <c r="B102" i="38"/>
  <c r="B106" i="21"/>
  <c r="B102" i="34"/>
  <c r="B106" i="24"/>
  <c r="J108" i="3"/>
  <c r="J104" i="22"/>
  <c r="I37" i="17"/>
  <c r="F25" i="17"/>
  <c r="F32" i="17"/>
  <c r="F27" i="17"/>
  <c r="H25" i="28" l="1"/>
  <c r="G25" i="28"/>
  <c r="E26" i="28"/>
  <c r="F26" i="28" s="1"/>
  <c r="G32" i="17"/>
  <c r="D19" i="39"/>
  <c r="N7" i="22"/>
  <c r="E107" i="23"/>
  <c r="D107" i="23"/>
  <c r="N5" i="28"/>
  <c r="V37" i="17"/>
  <c r="I101" i="39"/>
  <c r="F102" i="39"/>
  <c r="H102" i="39" s="1"/>
  <c r="B102" i="39"/>
  <c r="P100" i="37"/>
  <c r="G25" i="17"/>
  <c r="D103" i="20"/>
  <c r="E103" i="20" s="1"/>
  <c r="G27" i="17"/>
  <c r="B24" i="24"/>
  <c r="I23" i="24"/>
  <c r="I101" i="13"/>
  <c r="H101" i="13"/>
  <c r="E102" i="13"/>
  <c r="F102" i="13" s="1"/>
  <c r="B102" i="13"/>
  <c r="H21" i="13"/>
  <c r="D22" i="13"/>
  <c r="E22" i="13" s="1"/>
  <c r="F22" i="13" s="1"/>
  <c r="G21" i="13"/>
  <c r="I20" i="13"/>
  <c r="B20" i="35"/>
  <c r="B19" i="37"/>
  <c r="I25" i="19"/>
  <c r="B24" i="21"/>
  <c r="I19" i="31"/>
  <c r="I23" i="27"/>
  <c r="C42" i="25"/>
  <c r="C43" i="25" s="1"/>
  <c r="C44" i="25" s="1"/>
  <c r="C45" i="25" s="1"/>
  <c r="B22" i="25"/>
  <c r="I22" i="26"/>
  <c r="I22" i="22"/>
  <c r="B26" i="19"/>
  <c r="N5" i="19"/>
  <c r="F22" i="20"/>
  <c r="B18" i="38"/>
  <c r="B27" i="4"/>
  <c r="I23" i="28"/>
  <c r="B24" i="27"/>
  <c r="B26" i="18"/>
  <c r="N6" i="18"/>
  <c r="I23" i="21"/>
  <c r="B23" i="22"/>
  <c r="I21" i="20"/>
  <c r="I26" i="4"/>
  <c r="B23" i="26"/>
  <c r="B20" i="34"/>
  <c r="B24" i="23"/>
  <c r="I17" i="38"/>
  <c r="B24" i="28"/>
  <c r="I20" i="29"/>
  <c r="I19" i="34"/>
  <c r="I19" i="35"/>
  <c r="B20" i="31"/>
  <c r="I18" i="37"/>
  <c r="I21" i="25"/>
  <c r="I25" i="18"/>
  <c r="J108" i="4"/>
  <c r="J107" i="18"/>
  <c r="J101" i="35"/>
  <c r="J100" i="37"/>
  <c r="J103" i="25"/>
  <c r="J104" i="26"/>
  <c r="J105" i="28"/>
  <c r="B105" i="25"/>
  <c r="J105" i="27"/>
  <c r="J105" i="21"/>
  <c r="J102" i="29"/>
  <c r="D107" i="27"/>
  <c r="E107" i="27"/>
  <c r="J101" i="20"/>
  <c r="J105" i="24"/>
  <c r="J101" i="38"/>
  <c r="D103" i="38"/>
  <c r="J101" i="34"/>
  <c r="B109" i="19"/>
  <c r="B110" i="3"/>
  <c r="B106" i="22"/>
  <c r="H102" i="20"/>
  <c r="I102" i="20"/>
  <c r="F24" i="17"/>
  <c r="H26" i="28" l="1"/>
  <c r="G26" i="28"/>
  <c r="E27" i="28"/>
  <c r="F27" i="28" s="1"/>
  <c r="J101" i="39"/>
  <c r="N89" i="39"/>
  <c r="B103" i="20"/>
  <c r="F107" i="23"/>
  <c r="H107" i="23" s="1"/>
  <c r="I18" i="39"/>
  <c r="G24" i="17"/>
  <c r="F19" i="39"/>
  <c r="G19" i="39" s="1"/>
  <c r="B19" i="39"/>
  <c r="K20" i="35"/>
  <c r="L20" i="35" s="1"/>
  <c r="N5" i="35"/>
  <c r="N6" i="28"/>
  <c r="N7" i="28" s="1"/>
  <c r="K20" i="34"/>
  <c r="L20" i="34" s="1"/>
  <c r="N5" i="34"/>
  <c r="K23" i="26"/>
  <c r="L23" i="26" s="1"/>
  <c r="N5" i="26"/>
  <c r="M27" i="4"/>
  <c r="N27" i="4" s="1"/>
  <c r="N6" i="4"/>
  <c r="M27" i="3"/>
  <c r="N27" i="3" s="1"/>
  <c r="N6" i="3"/>
  <c r="K27" i="3"/>
  <c r="L27" i="3" s="1"/>
  <c r="N5" i="3"/>
  <c r="D103" i="39"/>
  <c r="G102" i="39"/>
  <c r="E103" i="39"/>
  <c r="F103" i="20"/>
  <c r="D104" i="20" s="1"/>
  <c r="I24" i="24"/>
  <c r="B22" i="13"/>
  <c r="I21" i="13"/>
  <c r="B25" i="24"/>
  <c r="J104" i="25"/>
  <c r="G102" i="13"/>
  <c r="D103" i="13"/>
  <c r="B103" i="13" s="1"/>
  <c r="J101" i="13"/>
  <c r="I23" i="22"/>
  <c r="I20" i="31"/>
  <c r="I24" i="21"/>
  <c r="I19" i="37"/>
  <c r="I24" i="23"/>
  <c r="D23" i="13"/>
  <c r="E23" i="13" s="1"/>
  <c r="G22" i="13"/>
  <c r="H22" i="13"/>
  <c r="D25" i="23"/>
  <c r="E25" i="23"/>
  <c r="I27" i="3"/>
  <c r="D25" i="27"/>
  <c r="E25" i="27"/>
  <c r="G22" i="20"/>
  <c r="H22" i="20"/>
  <c r="E23" i="20"/>
  <c r="B23" i="20"/>
  <c r="B28" i="3"/>
  <c r="I21" i="29"/>
  <c r="N24" i="27"/>
  <c r="O24" i="27" s="1"/>
  <c r="N5" i="25"/>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N6" i="25"/>
  <c r="B110" i="4"/>
  <c r="B109" i="18"/>
  <c r="D105" i="29"/>
  <c r="B103" i="35"/>
  <c r="B107" i="28"/>
  <c r="D106" i="25"/>
  <c r="E106" i="25"/>
  <c r="P101" i="37"/>
  <c r="B106" i="26"/>
  <c r="B102" i="37"/>
  <c r="B103" i="31"/>
  <c r="B103" i="34"/>
  <c r="F107" i="27"/>
  <c r="H107" i="27" s="1"/>
  <c r="B107" i="27"/>
  <c r="B103" i="38"/>
  <c r="B107" i="21"/>
  <c r="B107" i="24"/>
  <c r="D110" i="19"/>
  <c r="E110" i="19"/>
  <c r="E103" i="38"/>
  <c r="F103" i="38" s="1"/>
  <c r="H103" i="38" s="1"/>
  <c r="J108" i="19"/>
  <c r="J105" i="22"/>
  <c r="J109" i="3"/>
  <c r="J102" i="20"/>
  <c r="J106" i="23"/>
  <c r="D107" i="22"/>
  <c r="E107" i="22"/>
  <c r="D111" i="3"/>
  <c r="E111" i="3"/>
  <c r="F30" i="17"/>
  <c r="G103" i="20" l="1"/>
  <c r="H27" i="28"/>
  <c r="G27" i="28"/>
  <c r="E28" i="28"/>
  <c r="F28" i="28" s="1"/>
  <c r="E108" i="23"/>
  <c r="D108" i="23"/>
  <c r="N90" i="39"/>
  <c r="O89" i="39"/>
  <c r="O90" i="39" s="1"/>
  <c r="G107" i="23"/>
  <c r="D20" i="39"/>
  <c r="E20" i="39"/>
  <c r="H19" i="39"/>
  <c r="I19" i="39" s="1"/>
  <c r="I24" i="28"/>
  <c r="I20" i="35"/>
  <c r="M20" i="35"/>
  <c r="N20" i="35" s="1"/>
  <c r="O20" i="35" s="1"/>
  <c r="N6" i="35"/>
  <c r="N7" i="35" s="1"/>
  <c r="G30" i="17"/>
  <c r="I20" i="34"/>
  <c r="M20" i="34"/>
  <c r="N20" i="34" s="1"/>
  <c r="O20" i="34" s="1"/>
  <c r="N6" i="34"/>
  <c r="N7" i="34" s="1"/>
  <c r="M23" i="26"/>
  <c r="N23" i="26" s="1"/>
  <c r="O23" i="26" s="1"/>
  <c r="N6" i="26"/>
  <c r="N7" i="26" s="1"/>
  <c r="I26" i="19"/>
  <c r="N6" i="19"/>
  <c r="N7" i="19" s="1"/>
  <c r="I26" i="18"/>
  <c r="N5" i="18"/>
  <c r="N7" i="18" s="1"/>
  <c r="I27" i="4"/>
  <c r="K27" i="4"/>
  <c r="L27" i="4" s="1"/>
  <c r="O27" i="4" s="1"/>
  <c r="N5" i="4"/>
  <c r="N7" i="4" s="1"/>
  <c r="N7" i="3"/>
  <c r="O27" i="3"/>
  <c r="I102" i="39"/>
  <c r="J102" i="39" s="1"/>
  <c r="B103" i="39"/>
  <c r="F103" i="39"/>
  <c r="H103" i="39" s="1"/>
  <c r="I18" i="38"/>
  <c r="E103" i="13"/>
  <c r="F103" i="13" s="1"/>
  <c r="D104" i="13" s="1"/>
  <c r="I25" i="24"/>
  <c r="E26" i="24"/>
  <c r="D26" i="24"/>
  <c r="J101" i="37"/>
  <c r="H102" i="13"/>
  <c r="I102" i="13"/>
  <c r="N7" i="25"/>
  <c r="I23" i="26"/>
  <c r="B21" i="34"/>
  <c r="B20" i="37"/>
  <c r="B27" i="18"/>
  <c r="J108" i="18"/>
  <c r="B27" i="19"/>
  <c r="F23" i="20"/>
  <c r="B24" i="26"/>
  <c r="J109" i="4"/>
  <c r="B25" i="21"/>
  <c r="I22" i="20"/>
  <c r="I22" i="13"/>
  <c r="B24" i="22"/>
  <c r="B28" i="4"/>
  <c r="B25" i="23"/>
  <c r="F25" i="23"/>
  <c r="H25" i="23" s="1"/>
  <c r="I24" i="27"/>
  <c r="B19" i="38"/>
  <c r="N6" i="38"/>
  <c r="I22" i="25"/>
  <c r="D29" i="3"/>
  <c r="E29" i="3"/>
  <c r="B23" i="25"/>
  <c r="B25" i="27"/>
  <c r="F25" i="27"/>
  <c r="H25" i="27" s="1"/>
  <c r="B21" i="31"/>
  <c r="F23" i="13"/>
  <c r="H23" i="13" s="1"/>
  <c r="B23" i="13"/>
  <c r="B25" i="28"/>
  <c r="B21" i="35"/>
  <c r="E111" i="4"/>
  <c r="D111" i="4"/>
  <c r="E110" i="18"/>
  <c r="D110" i="18"/>
  <c r="D104" i="31"/>
  <c r="E104" i="31"/>
  <c r="J102" i="31"/>
  <c r="J105" i="26"/>
  <c r="E105" i="29"/>
  <c r="F105" i="29" s="1"/>
  <c r="H105" i="29" s="1"/>
  <c r="E107" i="26"/>
  <c r="D107" i="26"/>
  <c r="B106" i="25"/>
  <c r="F106" i="25"/>
  <c r="H106" i="25" s="1"/>
  <c r="D104" i="35"/>
  <c r="E104" i="35"/>
  <c r="J106" i="28"/>
  <c r="J102" i="35"/>
  <c r="D108" i="21"/>
  <c r="E108" i="21"/>
  <c r="J102" i="38"/>
  <c r="J106" i="27"/>
  <c r="F108" i="23"/>
  <c r="G108" i="23" s="1"/>
  <c r="J106" i="24"/>
  <c r="J102" i="34"/>
  <c r="B110" i="19"/>
  <c r="F110" i="19"/>
  <c r="H110" i="19" s="1"/>
  <c r="D108" i="24"/>
  <c r="E108" i="24"/>
  <c r="J106" i="21"/>
  <c r="D104" i="38"/>
  <c r="G103" i="38"/>
  <c r="G107" i="27"/>
  <c r="D108" i="27"/>
  <c r="E108" i="27"/>
  <c r="J103" i="29"/>
  <c r="H103" i="20"/>
  <c r="I103" i="20"/>
  <c r="B104" i="20"/>
  <c r="E104" i="20"/>
  <c r="F104" i="20" s="1"/>
  <c r="B111" i="3"/>
  <c r="F111" i="3"/>
  <c r="H111" i="3" s="1"/>
  <c r="F107" i="22"/>
  <c r="H107" i="22" s="1"/>
  <c r="B107" i="22"/>
  <c r="I107" i="23"/>
  <c r="F28" i="17"/>
  <c r="F26" i="17"/>
  <c r="F34" i="17"/>
  <c r="F19" i="17"/>
  <c r="F21" i="17"/>
  <c r="F33" i="17"/>
  <c r="F20" i="17"/>
  <c r="F18" i="17"/>
  <c r="H28" i="28" l="1"/>
  <c r="G28" i="28"/>
  <c r="E29" i="28"/>
  <c r="F29" i="28" s="1"/>
  <c r="F20" i="39"/>
  <c r="G20" i="39" s="1"/>
  <c r="B20" i="39"/>
  <c r="G34" i="17"/>
  <c r="I25" i="28"/>
  <c r="G33" i="17"/>
  <c r="G28" i="17"/>
  <c r="G21" i="17"/>
  <c r="G20" i="17"/>
  <c r="G19" i="17"/>
  <c r="G18" i="17"/>
  <c r="G103" i="13"/>
  <c r="I103" i="13" s="1"/>
  <c r="H108" i="23"/>
  <c r="E104" i="38"/>
  <c r="F104" i="38" s="1"/>
  <c r="H104" i="38" s="1"/>
  <c r="D104" i="39"/>
  <c r="G103" i="39"/>
  <c r="E104" i="39"/>
  <c r="I21" i="34"/>
  <c r="F26" i="24"/>
  <c r="H26" i="24" s="1"/>
  <c r="B26" i="24"/>
  <c r="B104" i="13"/>
  <c r="J102" i="13"/>
  <c r="E104" i="13"/>
  <c r="F104" i="13" s="1"/>
  <c r="I23" i="25"/>
  <c r="G26" i="17"/>
  <c r="I21" i="35"/>
  <c r="I28" i="4"/>
  <c r="I24" i="22"/>
  <c r="I22" i="29"/>
  <c r="I21" i="31"/>
  <c r="E109" i="23"/>
  <c r="D109" i="23"/>
  <c r="G25" i="23"/>
  <c r="I25" i="23" s="1"/>
  <c r="I24" i="26"/>
  <c r="G25" i="27"/>
  <c r="I25" i="27" s="1"/>
  <c r="H23" i="20"/>
  <c r="G23" i="20"/>
  <c r="E24" i="20"/>
  <c r="B24" i="20"/>
  <c r="D22" i="35"/>
  <c r="E22" i="35"/>
  <c r="D23" i="29"/>
  <c r="E23" i="29"/>
  <c r="G23" i="13"/>
  <c r="I23" i="13" s="1"/>
  <c r="F29" i="3"/>
  <c r="G29" i="3" s="1"/>
  <c r="B29" i="3"/>
  <c r="D29" i="4"/>
  <c r="E29" i="4"/>
  <c r="D26" i="27"/>
  <c r="E26" i="27"/>
  <c r="D25" i="22"/>
  <c r="E25" i="22"/>
  <c r="D28" i="19"/>
  <c r="E28" i="19"/>
  <c r="D28" i="18"/>
  <c r="E28" i="18"/>
  <c r="D21" i="37"/>
  <c r="E21" i="37"/>
  <c r="D25" i="26"/>
  <c r="E25" i="26"/>
  <c r="D22" i="34"/>
  <c r="E22" i="34"/>
  <c r="D24" i="13"/>
  <c r="E24" i="13" s="1"/>
  <c r="D26" i="21"/>
  <c r="E26" i="21"/>
  <c r="D22" i="31"/>
  <c r="E22" i="31"/>
  <c r="I28" i="3"/>
  <c r="D24" i="25"/>
  <c r="E24" i="25"/>
  <c r="E26" i="23"/>
  <c r="D26" i="23"/>
  <c r="F111" i="4"/>
  <c r="H111" i="4" s="1"/>
  <c r="B111" i="4"/>
  <c r="F110" i="18"/>
  <c r="H110" i="18" s="1"/>
  <c r="B110" i="18"/>
  <c r="G106" i="25"/>
  <c r="D107" i="25"/>
  <c r="E107" i="25"/>
  <c r="B108" i="28"/>
  <c r="B104" i="31"/>
  <c r="F104" i="31"/>
  <c r="H104" i="31" s="1"/>
  <c r="B107" i="26"/>
  <c r="F107" i="26"/>
  <c r="H107" i="26" s="1"/>
  <c r="B104" i="35"/>
  <c r="F104" i="35"/>
  <c r="H104" i="35" s="1"/>
  <c r="B103" i="37"/>
  <c r="J105" i="25"/>
  <c r="B104" i="34"/>
  <c r="F108" i="27"/>
  <c r="H108" i="27" s="1"/>
  <c r="B108" i="27"/>
  <c r="G105" i="29"/>
  <c r="D106" i="29"/>
  <c r="E106" i="29"/>
  <c r="I107" i="27"/>
  <c r="I103" i="38"/>
  <c r="B108" i="24"/>
  <c r="F108" i="24"/>
  <c r="H108" i="24" s="1"/>
  <c r="J109" i="19"/>
  <c r="B104" i="38"/>
  <c r="D111" i="19"/>
  <c r="G110" i="19"/>
  <c r="E111" i="19"/>
  <c r="J104" i="29"/>
  <c r="B108" i="21"/>
  <c r="F108" i="21"/>
  <c r="H108" i="21" s="1"/>
  <c r="D105" i="20"/>
  <c r="G104" i="20"/>
  <c r="I108" i="23"/>
  <c r="J103" i="20"/>
  <c r="J106" i="22"/>
  <c r="J110" i="3"/>
  <c r="J107" i="23"/>
  <c r="D108" i="22"/>
  <c r="G107" i="22"/>
  <c r="E108" i="22"/>
  <c r="D112" i="3"/>
  <c r="E112" i="3"/>
  <c r="G111" i="3"/>
  <c r="H20" i="39" l="1"/>
  <c r="I20" i="39" s="1"/>
  <c r="H29" i="28"/>
  <c r="G29" i="28"/>
  <c r="E30" i="28"/>
  <c r="F30" i="28" s="1"/>
  <c r="D21" i="39"/>
  <c r="E21" i="39"/>
  <c r="H103" i="13"/>
  <c r="J103" i="13" s="1"/>
  <c r="I19" i="38"/>
  <c r="N5" i="38"/>
  <c r="N7" i="38" s="1"/>
  <c r="I103" i="39"/>
  <c r="F104" i="39"/>
  <c r="H104" i="39" s="1"/>
  <c r="B104" i="39"/>
  <c r="G26" i="24"/>
  <c r="I26" i="24" s="1"/>
  <c r="E27" i="24"/>
  <c r="D27" i="24"/>
  <c r="F109" i="23"/>
  <c r="E110" i="23" s="1"/>
  <c r="G104" i="13"/>
  <c r="D105" i="13"/>
  <c r="B22" i="31"/>
  <c r="F22" i="31"/>
  <c r="H22" i="31" s="1"/>
  <c r="I27" i="18"/>
  <c r="B28" i="18"/>
  <c r="F28" i="18"/>
  <c r="D30" i="3"/>
  <c r="E30" i="3"/>
  <c r="F24" i="20"/>
  <c r="F26" i="27"/>
  <c r="G26" i="27" s="1"/>
  <c r="B26" i="27"/>
  <c r="B26" i="28"/>
  <c r="F25" i="26"/>
  <c r="G25" i="26" s="1"/>
  <c r="B25" i="26"/>
  <c r="B28" i="19"/>
  <c r="F28" i="19"/>
  <c r="G28" i="19" s="1"/>
  <c r="I23" i="20"/>
  <c r="B22" i="34"/>
  <c r="F22" i="34"/>
  <c r="I20" i="37"/>
  <c r="F24" i="25"/>
  <c r="G24" i="25" s="1"/>
  <c r="B24" i="25"/>
  <c r="B26" i="21"/>
  <c r="F26" i="21"/>
  <c r="G26" i="21" s="1"/>
  <c r="F23" i="29"/>
  <c r="G23" i="29" s="1"/>
  <c r="F26" i="23"/>
  <c r="H26" i="23" s="1"/>
  <c r="B26" i="23"/>
  <c r="B20" i="38"/>
  <c r="I27" i="19"/>
  <c r="F24" i="13"/>
  <c r="H24" i="13" s="1"/>
  <c r="B24" i="13"/>
  <c r="B29" i="4"/>
  <c r="F29" i="4"/>
  <c r="G29" i="4" s="1"/>
  <c r="I25" i="21"/>
  <c r="F21" i="37"/>
  <c r="B21" i="37"/>
  <c r="F25" i="22"/>
  <c r="G25" i="22" s="1"/>
  <c r="B25" i="22"/>
  <c r="H29" i="3"/>
  <c r="B22" i="35"/>
  <c r="F22" i="35"/>
  <c r="G22" i="35" s="1"/>
  <c r="J108" i="23"/>
  <c r="J107" i="28"/>
  <c r="D111" i="18"/>
  <c r="E111" i="18"/>
  <c r="G110" i="18"/>
  <c r="E112" i="4"/>
  <c r="D112" i="4"/>
  <c r="G111" i="4"/>
  <c r="J110" i="4"/>
  <c r="J109" i="18"/>
  <c r="E105" i="35"/>
  <c r="D105" i="35"/>
  <c r="G104" i="35"/>
  <c r="I106" i="25"/>
  <c r="J102" i="37"/>
  <c r="J103" i="31"/>
  <c r="E105" i="31"/>
  <c r="D105" i="31"/>
  <c r="G104" i="31"/>
  <c r="J106" i="26"/>
  <c r="J103" i="35"/>
  <c r="D104" i="37"/>
  <c r="E104" i="37"/>
  <c r="E108" i="26"/>
  <c r="G107" i="26"/>
  <c r="D108" i="26"/>
  <c r="B107" i="25"/>
  <c r="F107" i="25"/>
  <c r="H107" i="25" s="1"/>
  <c r="F106" i="29"/>
  <c r="E107" i="29" s="1"/>
  <c r="D109" i="21"/>
  <c r="G108" i="21"/>
  <c r="E109" i="21"/>
  <c r="D105" i="38"/>
  <c r="G104" i="38"/>
  <c r="D105" i="34"/>
  <c r="E105" i="34"/>
  <c r="J107" i="27"/>
  <c r="D109" i="24"/>
  <c r="G108" i="24"/>
  <c r="E109" i="24"/>
  <c r="J103" i="34"/>
  <c r="J103" i="38"/>
  <c r="I105" i="29"/>
  <c r="G108" i="27"/>
  <c r="D109" i="27"/>
  <c r="E109" i="27"/>
  <c r="B111" i="19"/>
  <c r="F111" i="19"/>
  <c r="H111" i="19" s="1"/>
  <c r="I110" i="19"/>
  <c r="J107" i="24"/>
  <c r="J107" i="21"/>
  <c r="B108" i="22"/>
  <c r="F108" i="22"/>
  <c r="H108" i="22" s="1"/>
  <c r="H104" i="20"/>
  <c r="I104" i="20"/>
  <c r="I111" i="3"/>
  <c r="F112" i="3"/>
  <c r="H112" i="3" s="1"/>
  <c r="B112" i="3"/>
  <c r="B105" i="20"/>
  <c r="I107" i="22"/>
  <c r="E105" i="20"/>
  <c r="F105" i="20" s="1"/>
  <c r="F35" i="17"/>
  <c r="H30" i="28" l="1"/>
  <c r="G30" i="28"/>
  <c r="E31" i="28"/>
  <c r="F31" i="28" s="1"/>
  <c r="F21" i="39"/>
  <c r="G21" i="39" s="1"/>
  <c r="B21" i="39"/>
  <c r="H109" i="23"/>
  <c r="G35" i="17"/>
  <c r="E105" i="38"/>
  <c r="F105" i="38" s="1"/>
  <c r="H105" i="38" s="1"/>
  <c r="H106" i="29"/>
  <c r="G104" i="39"/>
  <c r="D105" i="39"/>
  <c r="E105" i="39"/>
  <c r="J103" i="39"/>
  <c r="D110" i="23"/>
  <c r="G109" i="23"/>
  <c r="I109" i="23" s="1"/>
  <c r="B27" i="24"/>
  <c r="F27" i="24"/>
  <c r="H27" i="24" s="1"/>
  <c r="J106" i="25"/>
  <c r="E105" i="13"/>
  <c r="F105" i="13" s="1"/>
  <c r="B105" i="13"/>
  <c r="I104" i="13"/>
  <c r="H104" i="13"/>
  <c r="H25" i="22"/>
  <c r="I25" i="22" s="1"/>
  <c r="H22" i="35"/>
  <c r="I22" i="35" s="1"/>
  <c r="G22" i="31"/>
  <c r="I22" i="31" s="1"/>
  <c r="G26" i="23"/>
  <c r="I26" i="23" s="1"/>
  <c r="H26" i="21"/>
  <c r="I26" i="21" s="1"/>
  <c r="G24" i="13"/>
  <c r="I24" i="13" s="1"/>
  <c r="H23" i="29"/>
  <c r="I23" i="29" s="1"/>
  <c r="H26" i="27"/>
  <c r="I26" i="27" s="1"/>
  <c r="D22" i="37"/>
  <c r="E22" i="37"/>
  <c r="D29" i="18"/>
  <c r="E29" i="18"/>
  <c r="I29" i="3"/>
  <c r="H21" i="37"/>
  <c r="D26" i="26"/>
  <c r="E26" i="26"/>
  <c r="H25" i="26"/>
  <c r="H24" i="20"/>
  <c r="B25" i="20"/>
  <c r="E25" i="20"/>
  <c r="F25" i="20" s="1"/>
  <c r="G24" i="20"/>
  <c r="D26" i="22"/>
  <c r="E26" i="22"/>
  <c r="D25" i="13"/>
  <c r="D23" i="31"/>
  <c r="E23" i="31"/>
  <c r="D30" i="4"/>
  <c r="E30" i="4"/>
  <c r="D27" i="23"/>
  <c r="E27" i="23"/>
  <c r="D27" i="21"/>
  <c r="E27" i="21"/>
  <c r="D23" i="34"/>
  <c r="E23" i="34"/>
  <c r="D29" i="19"/>
  <c r="E29" i="19"/>
  <c r="B30" i="3"/>
  <c r="F30" i="3"/>
  <c r="H30" i="3" s="1"/>
  <c r="D23" i="35"/>
  <c r="E23" i="35"/>
  <c r="G21" i="37"/>
  <c r="H29" i="4"/>
  <c r="D21" i="38"/>
  <c r="E21" i="38"/>
  <c r="G22" i="34"/>
  <c r="D27" i="27"/>
  <c r="E27" i="27"/>
  <c r="G28" i="18"/>
  <c r="D25" i="25"/>
  <c r="E25" i="25"/>
  <c r="D24" i="29"/>
  <c r="E24" i="29"/>
  <c r="H24" i="25"/>
  <c r="H22" i="34"/>
  <c r="H28" i="19"/>
  <c r="H28" i="18"/>
  <c r="I110" i="18"/>
  <c r="F112" i="4"/>
  <c r="H112" i="4" s="1"/>
  <c r="B112" i="4"/>
  <c r="I111" i="4"/>
  <c r="B111" i="18"/>
  <c r="F111" i="18"/>
  <c r="H111" i="18" s="1"/>
  <c r="G107" i="25"/>
  <c r="D108" i="25"/>
  <c r="E108" i="25"/>
  <c r="F108" i="26"/>
  <c r="H108" i="26" s="1"/>
  <c r="B108" i="26"/>
  <c r="B109" i="28"/>
  <c r="I107" i="26"/>
  <c r="I104" i="35"/>
  <c r="B104" i="37"/>
  <c r="F104" i="37"/>
  <c r="H104" i="37" s="1"/>
  <c r="I104" i="31"/>
  <c r="B105" i="35"/>
  <c r="F105" i="35"/>
  <c r="H105" i="35" s="1"/>
  <c r="I103" i="37"/>
  <c r="F105" i="31"/>
  <c r="H105" i="31" s="1"/>
  <c r="B105" i="31"/>
  <c r="G106" i="29"/>
  <c r="I106" i="29" s="1"/>
  <c r="D107" i="29"/>
  <c r="F109" i="24"/>
  <c r="H109" i="24" s="1"/>
  <c r="B109" i="24"/>
  <c r="B105" i="38"/>
  <c r="I104" i="34"/>
  <c r="J110" i="19"/>
  <c r="I108" i="24"/>
  <c r="D112" i="19"/>
  <c r="G111" i="19"/>
  <c r="E112" i="19"/>
  <c r="F109" i="27"/>
  <c r="H109" i="27" s="1"/>
  <c r="B109" i="27"/>
  <c r="I108" i="21"/>
  <c r="I104" i="38"/>
  <c r="I108" i="27"/>
  <c r="F109" i="21"/>
  <c r="H109" i="21" s="1"/>
  <c r="B109" i="21"/>
  <c r="J105" i="29"/>
  <c r="B105" i="34"/>
  <c r="F105" i="34"/>
  <c r="H105" i="34" s="1"/>
  <c r="G105" i="20"/>
  <c r="D106" i="20"/>
  <c r="E106" i="20" s="1"/>
  <c r="J104" i="20"/>
  <c r="D113" i="3"/>
  <c r="G112" i="3"/>
  <c r="E113" i="3"/>
  <c r="G108" i="22"/>
  <c r="D109" i="22"/>
  <c r="E109" i="22"/>
  <c r="J107" i="22"/>
  <c r="J111" i="3"/>
  <c r="H21" i="39" l="1"/>
  <c r="I21" i="39" s="1"/>
  <c r="H31" i="28"/>
  <c r="G31" i="28"/>
  <c r="E32" i="28"/>
  <c r="F32" i="28" s="1"/>
  <c r="D22" i="39"/>
  <c r="E22" i="39"/>
  <c r="F110" i="23"/>
  <c r="D111" i="23" s="1"/>
  <c r="H110" i="23"/>
  <c r="F107" i="29"/>
  <c r="E108" i="29" s="1"/>
  <c r="F105" i="39"/>
  <c r="H105" i="39" s="1"/>
  <c r="B105" i="39"/>
  <c r="I104" i="39"/>
  <c r="J109" i="23"/>
  <c r="G27" i="24"/>
  <c r="I27" i="24" s="1"/>
  <c r="D28" i="24"/>
  <c r="E28" i="24"/>
  <c r="G30" i="3"/>
  <c r="I30" i="3" s="1"/>
  <c r="J106" i="29"/>
  <c r="J104" i="31"/>
  <c r="J104" i="13"/>
  <c r="D106" i="13"/>
  <c r="G105" i="13"/>
  <c r="J110" i="18"/>
  <c r="B30" i="4"/>
  <c r="F30" i="4"/>
  <c r="H30" i="4" s="1"/>
  <c r="J111" i="4"/>
  <c r="I22" i="34"/>
  <c r="F21" i="38"/>
  <c r="G21" i="38" s="1"/>
  <c r="B21" i="38"/>
  <c r="F23" i="34"/>
  <c r="H23" i="34" s="1"/>
  <c r="B23" i="34"/>
  <c r="I24" i="25"/>
  <c r="I29" i="4"/>
  <c r="B25" i="13"/>
  <c r="B27" i="27"/>
  <c r="F27" i="27"/>
  <c r="H27" i="27" s="1"/>
  <c r="F27" i="21"/>
  <c r="G27" i="21" s="1"/>
  <c r="B27" i="21"/>
  <c r="E25" i="13"/>
  <c r="F25" i="13" s="1"/>
  <c r="F29" i="18"/>
  <c r="B29" i="18"/>
  <c r="F24" i="29"/>
  <c r="G24" i="29" s="1"/>
  <c r="I26" i="28"/>
  <c r="I28" i="19"/>
  <c r="B23" i="31"/>
  <c r="F23" i="31"/>
  <c r="H23" i="31" s="1"/>
  <c r="I20" i="38"/>
  <c r="F23" i="35"/>
  <c r="G23" i="35" s="1"/>
  <c r="B23" i="35"/>
  <c r="B27" i="28"/>
  <c r="F27" i="23"/>
  <c r="G27" i="23" s="1"/>
  <c r="B27" i="23"/>
  <c r="F26" i="22"/>
  <c r="H26" i="22" s="1"/>
  <c r="B26" i="22"/>
  <c r="G25" i="20"/>
  <c r="N5" i="20" s="1"/>
  <c r="M19" i="1" s="1"/>
  <c r="B26" i="20"/>
  <c r="H25" i="20"/>
  <c r="N6" i="20" s="1"/>
  <c r="E26" i="20"/>
  <c r="F26" i="20" s="1"/>
  <c r="B22" i="37"/>
  <c r="F22" i="37"/>
  <c r="H22" i="37" s="1"/>
  <c r="I25" i="26"/>
  <c r="B26" i="26"/>
  <c r="F26" i="26"/>
  <c r="G26" i="26" s="1"/>
  <c r="I28" i="18"/>
  <c r="F25" i="25"/>
  <c r="G25" i="25" s="1"/>
  <c r="B25" i="25"/>
  <c r="D31" i="3"/>
  <c r="E31" i="3"/>
  <c r="F29" i="19"/>
  <c r="H29" i="19" s="1"/>
  <c r="B29" i="19"/>
  <c r="I24" i="20"/>
  <c r="I21" i="37"/>
  <c r="J108" i="28"/>
  <c r="J104" i="35"/>
  <c r="D112" i="18"/>
  <c r="E112" i="18"/>
  <c r="G111" i="18"/>
  <c r="E113" i="4"/>
  <c r="D113" i="4"/>
  <c r="G112" i="4"/>
  <c r="D105" i="37"/>
  <c r="E105" i="37"/>
  <c r="G104" i="37"/>
  <c r="G105" i="31"/>
  <c r="D106" i="31"/>
  <c r="E106" i="31"/>
  <c r="J103" i="37"/>
  <c r="E109" i="26"/>
  <c r="G108" i="26"/>
  <c r="D109" i="26"/>
  <c r="G105" i="35"/>
  <c r="E106" i="35"/>
  <c r="D106" i="35"/>
  <c r="J107" i="26"/>
  <c r="B108" i="25"/>
  <c r="F108" i="25"/>
  <c r="H108" i="25" s="1"/>
  <c r="I107" i="25"/>
  <c r="J108" i="27"/>
  <c r="G109" i="24"/>
  <c r="D110" i="24"/>
  <c r="E110" i="24"/>
  <c r="I111" i="19"/>
  <c r="D106" i="38"/>
  <c r="G105" i="38"/>
  <c r="B112" i="19"/>
  <c r="F112" i="19"/>
  <c r="H112" i="19" s="1"/>
  <c r="D106" i="34"/>
  <c r="G105" i="34"/>
  <c r="E106" i="34"/>
  <c r="G109" i="21"/>
  <c r="D110" i="21"/>
  <c r="E110" i="21"/>
  <c r="J108" i="21"/>
  <c r="J104" i="34"/>
  <c r="J104" i="38"/>
  <c r="G109" i="27"/>
  <c r="D110" i="27"/>
  <c r="E110" i="27"/>
  <c r="J108" i="24"/>
  <c r="I108" i="22"/>
  <c r="I112" i="3"/>
  <c r="F109" i="22"/>
  <c r="H109" i="22" s="1"/>
  <c r="B109" i="22"/>
  <c r="F113" i="3"/>
  <c r="H113" i="3" s="1"/>
  <c r="B113" i="3"/>
  <c r="F106" i="20"/>
  <c r="B106" i="20"/>
  <c r="I105" i="20"/>
  <c r="H105" i="20"/>
  <c r="H32" i="28" l="1"/>
  <c r="G32" i="28"/>
  <c r="E33" i="28"/>
  <c r="F33" i="28" s="1"/>
  <c r="G110" i="23"/>
  <c r="I110" i="23" s="1"/>
  <c r="J110" i="23" s="1"/>
  <c r="E111" i="23"/>
  <c r="F111" i="23" s="1"/>
  <c r="D112" i="23" s="1"/>
  <c r="F22" i="39"/>
  <c r="G22" i="39" s="1"/>
  <c r="B22" i="39"/>
  <c r="N19" i="1"/>
  <c r="N7" i="20"/>
  <c r="M20" i="1"/>
  <c r="R128" i="1"/>
  <c r="D108" i="29"/>
  <c r="F108" i="29" s="1"/>
  <c r="G107" i="29"/>
  <c r="I107" i="29" s="1"/>
  <c r="H107" i="29"/>
  <c r="J104" i="39"/>
  <c r="G105" i="39"/>
  <c r="D106" i="39"/>
  <c r="E106" i="39"/>
  <c r="F28" i="24"/>
  <c r="G28" i="24" s="1"/>
  <c r="B28" i="24"/>
  <c r="J107" i="25"/>
  <c r="I105" i="13"/>
  <c r="H105" i="13"/>
  <c r="E106" i="13"/>
  <c r="F106" i="13" s="1"/>
  <c r="B106" i="13"/>
  <c r="G22" i="37"/>
  <c r="I22" i="37" s="1"/>
  <c r="G23" i="31"/>
  <c r="I23" i="31" s="1"/>
  <c r="H21" i="38"/>
  <c r="I21" i="38" s="1"/>
  <c r="H27" i="23"/>
  <c r="I27" i="23" s="1"/>
  <c r="H23" i="35"/>
  <c r="I23" i="35" s="1"/>
  <c r="G29" i="19"/>
  <c r="I29" i="19" s="1"/>
  <c r="D30" i="18"/>
  <c r="E30" i="18"/>
  <c r="I25" i="20"/>
  <c r="D24" i="31"/>
  <c r="E24" i="31"/>
  <c r="G29" i="18"/>
  <c r="D24" i="34"/>
  <c r="E24" i="34"/>
  <c r="D31" i="4"/>
  <c r="E31" i="4"/>
  <c r="D30" i="19"/>
  <c r="E30" i="19"/>
  <c r="H24" i="29"/>
  <c r="D28" i="27"/>
  <c r="E28" i="27"/>
  <c r="D26" i="25"/>
  <c r="E26" i="25"/>
  <c r="F31" i="3"/>
  <c r="B31" i="3"/>
  <c r="D27" i="26"/>
  <c r="E27" i="26"/>
  <c r="G27" i="27"/>
  <c r="I27" i="27" s="1"/>
  <c r="G30" i="4"/>
  <c r="I30" i="4" s="1"/>
  <c r="D27" i="22"/>
  <c r="E27" i="22"/>
  <c r="D26" i="13"/>
  <c r="E26" i="13" s="1"/>
  <c r="E27" i="20"/>
  <c r="F27" i="20" s="1"/>
  <c r="H26" i="20"/>
  <c r="G26" i="20"/>
  <c r="B27" i="20"/>
  <c r="D23" i="37"/>
  <c r="E23" i="37"/>
  <c r="G26" i="22"/>
  <c r="I26" i="22" s="1"/>
  <c r="D28" i="21"/>
  <c r="E28" i="21"/>
  <c r="H25" i="13"/>
  <c r="D22" i="38"/>
  <c r="E22" i="38"/>
  <c r="D25" i="29"/>
  <c r="E25" i="29"/>
  <c r="H25" i="25"/>
  <c r="H26" i="26"/>
  <c r="D28" i="23"/>
  <c r="E28" i="23"/>
  <c r="D24" i="35"/>
  <c r="E24" i="35"/>
  <c r="H29" i="18"/>
  <c r="H27" i="21"/>
  <c r="G25" i="13"/>
  <c r="G23" i="34"/>
  <c r="I23" i="34" s="1"/>
  <c r="F113" i="4"/>
  <c r="H113" i="4" s="1"/>
  <c r="B113" i="4"/>
  <c r="I111" i="18"/>
  <c r="I112" i="4"/>
  <c r="B112" i="18"/>
  <c r="F112" i="18"/>
  <c r="H112" i="18" s="1"/>
  <c r="G108" i="25"/>
  <c r="E109" i="25"/>
  <c r="D109" i="25"/>
  <c r="F106" i="35"/>
  <c r="H106" i="35" s="1"/>
  <c r="B106" i="35"/>
  <c r="B106" i="31"/>
  <c r="F106" i="31"/>
  <c r="H106" i="31" s="1"/>
  <c r="I105" i="31"/>
  <c r="I105" i="35"/>
  <c r="I104" i="37"/>
  <c r="F109" i="26"/>
  <c r="H109" i="26" s="1"/>
  <c r="B109" i="26"/>
  <c r="B110" i="28"/>
  <c r="I108" i="26"/>
  <c r="F105" i="37"/>
  <c r="H105" i="37" s="1"/>
  <c r="B105" i="37"/>
  <c r="B110" i="27"/>
  <c r="F110" i="27"/>
  <c r="H110" i="27" s="1"/>
  <c r="G112" i="19"/>
  <c r="D113" i="19"/>
  <c r="E113" i="19"/>
  <c r="I109" i="27"/>
  <c r="J111" i="19"/>
  <c r="I109" i="21"/>
  <c r="I105" i="38"/>
  <c r="I105" i="34"/>
  <c r="B106" i="38"/>
  <c r="F110" i="24"/>
  <c r="H110" i="24" s="1"/>
  <c r="B110" i="24"/>
  <c r="F110" i="21"/>
  <c r="H110" i="21" s="1"/>
  <c r="B110" i="21"/>
  <c r="B106" i="34"/>
  <c r="F106" i="34"/>
  <c r="H106" i="34" s="1"/>
  <c r="E106" i="38"/>
  <c r="F106" i="38" s="1"/>
  <c r="H106" i="38" s="1"/>
  <c r="I109" i="24"/>
  <c r="J112" i="3"/>
  <c r="G109" i="22"/>
  <c r="D110" i="22"/>
  <c r="E110" i="22"/>
  <c r="J108" i="22"/>
  <c r="G106" i="20"/>
  <c r="D107" i="20"/>
  <c r="E107" i="20" s="1"/>
  <c r="E114" i="3"/>
  <c r="G113" i="3"/>
  <c r="D114" i="3"/>
  <c r="J105" i="20"/>
  <c r="F22" i="17"/>
  <c r="H33" i="28" l="1"/>
  <c r="G33" i="28"/>
  <c r="E34" i="28"/>
  <c r="F34" i="28" s="1"/>
  <c r="E112" i="23"/>
  <c r="F112" i="23" s="1"/>
  <c r="G111" i="23"/>
  <c r="I111" i="23" s="1"/>
  <c r="H22" i="39"/>
  <c r="I22" i="39" s="1"/>
  <c r="H111" i="23"/>
  <c r="J107" i="29"/>
  <c r="D23" i="39"/>
  <c r="E23" i="39"/>
  <c r="F39" i="17"/>
  <c r="G22" i="17"/>
  <c r="G39" i="17" s="1"/>
  <c r="N20" i="1"/>
  <c r="R129" i="1"/>
  <c r="O19" i="1"/>
  <c r="G108" i="29"/>
  <c r="I108" i="29" s="1"/>
  <c r="E109" i="29"/>
  <c r="H108" i="29"/>
  <c r="D109" i="29"/>
  <c r="F106" i="39"/>
  <c r="H106" i="39" s="1"/>
  <c r="B106" i="39"/>
  <c r="I105" i="39"/>
  <c r="J105" i="39" s="1"/>
  <c r="H28" i="24"/>
  <c r="I28" i="24" s="1"/>
  <c r="D29" i="24"/>
  <c r="E29" i="24"/>
  <c r="J105" i="31"/>
  <c r="G106" i="13"/>
  <c r="D107" i="13"/>
  <c r="J105" i="13"/>
  <c r="I26" i="20"/>
  <c r="I25" i="25"/>
  <c r="B26" i="13"/>
  <c r="F26" i="13"/>
  <c r="G26" i="13" s="1"/>
  <c r="B24" i="34"/>
  <c r="F24" i="34"/>
  <c r="H24" i="34" s="1"/>
  <c r="D32" i="3"/>
  <c r="D33" i="3"/>
  <c r="E32" i="3"/>
  <c r="E33" i="3"/>
  <c r="I27" i="21"/>
  <c r="B23" i="37"/>
  <c r="F23" i="37"/>
  <c r="G23" i="37" s="1"/>
  <c r="B26" i="25"/>
  <c r="F26" i="25"/>
  <c r="G26" i="25" s="1"/>
  <c r="J111" i="18"/>
  <c r="I29" i="18"/>
  <c r="F22" i="38"/>
  <c r="G22" i="38" s="1"/>
  <c r="B22" i="38"/>
  <c r="F27" i="22"/>
  <c r="B27" i="22"/>
  <c r="F27" i="26"/>
  <c r="H27" i="26" s="1"/>
  <c r="B27" i="26"/>
  <c r="B30" i="18"/>
  <c r="F30" i="18"/>
  <c r="G30" i="18" s="1"/>
  <c r="I26" i="26"/>
  <c r="F25" i="29"/>
  <c r="G25" i="29" s="1"/>
  <c r="I25" i="13"/>
  <c r="B30" i="19"/>
  <c r="F30" i="19"/>
  <c r="B24" i="35"/>
  <c r="F24" i="35"/>
  <c r="H24" i="35" s="1"/>
  <c r="H31" i="3"/>
  <c r="B28" i="27"/>
  <c r="F28" i="27"/>
  <c r="H28" i="27" s="1"/>
  <c r="F24" i="31"/>
  <c r="H24" i="31" s="1"/>
  <c r="B24" i="31"/>
  <c r="B28" i="28"/>
  <c r="B28" i="21"/>
  <c r="F28" i="21"/>
  <c r="H28" i="21" s="1"/>
  <c r="I24" i="29"/>
  <c r="I27" i="28"/>
  <c r="B28" i="23"/>
  <c r="F28" i="23"/>
  <c r="G28" i="23" s="1"/>
  <c r="B28" i="20"/>
  <c r="E28" i="20"/>
  <c r="F28" i="20" s="1"/>
  <c r="G27" i="20"/>
  <c r="H27" i="20"/>
  <c r="G31" i="3"/>
  <c r="F31" i="4"/>
  <c r="G31" i="4" s="1"/>
  <c r="B31" i="4"/>
  <c r="J104" i="37"/>
  <c r="J112" i="4"/>
  <c r="G112" i="18"/>
  <c r="E113" i="18"/>
  <c r="D113" i="18"/>
  <c r="D114" i="4"/>
  <c r="G113" i="4"/>
  <c r="E114" i="4"/>
  <c r="E110" i="26"/>
  <c r="D110" i="26"/>
  <c r="G109" i="26"/>
  <c r="E107" i="31"/>
  <c r="D107" i="31"/>
  <c r="G106" i="31"/>
  <c r="E106" i="37"/>
  <c r="D106" i="37"/>
  <c r="G105" i="37"/>
  <c r="J108" i="26"/>
  <c r="J105" i="35"/>
  <c r="G106" i="35"/>
  <c r="D107" i="35"/>
  <c r="E107" i="35"/>
  <c r="F109" i="25"/>
  <c r="H109" i="25" s="1"/>
  <c r="B109" i="25"/>
  <c r="J109" i="28"/>
  <c r="I108" i="25"/>
  <c r="D107" i="38"/>
  <c r="G106" i="38"/>
  <c r="J105" i="38"/>
  <c r="J109" i="21"/>
  <c r="J105" i="34"/>
  <c r="D107" i="34"/>
  <c r="G106" i="34"/>
  <c r="E107" i="34"/>
  <c r="J109" i="27"/>
  <c r="F113" i="19"/>
  <c r="H113" i="19" s="1"/>
  <c r="B113" i="19"/>
  <c r="I112" i="19"/>
  <c r="J109" i="24"/>
  <c r="D111" i="24"/>
  <c r="G110" i="24"/>
  <c r="E111" i="24"/>
  <c r="D111" i="27"/>
  <c r="G110" i="27"/>
  <c r="E111" i="27"/>
  <c r="G110" i="21"/>
  <c r="D111" i="21"/>
  <c r="E111" i="21"/>
  <c r="I109" i="22"/>
  <c r="I106" i="20"/>
  <c r="H106" i="20"/>
  <c r="B114" i="3"/>
  <c r="F114" i="3"/>
  <c r="H114" i="3" s="1"/>
  <c r="F110" i="22"/>
  <c r="H110" i="22" s="1"/>
  <c r="B110" i="22"/>
  <c r="F107" i="20"/>
  <c r="B107" i="20"/>
  <c r="I113" i="3"/>
  <c r="H34" i="28" l="1"/>
  <c r="G34" i="28"/>
  <c r="E35" i="28"/>
  <c r="F35" i="28" s="1"/>
  <c r="G112" i="23"/>
  <c r="I112" i="23" s="1"/>
  <c r="H112" i="23"/>
  <c r="D113" i="23"/>
  <c r="E113" i="23"/>
  <c r="F113" i="23" s="1"/>
  <c r="D114" i="23" s="1"/>
  <c r="F109" i="29"/>
  <c r="E110" i="29" s="1"/>
  <c r="J111" i="23"/>
  <c r="F23" i="39"/>
  <c r="H23" i="39" s="1"/>
  <c r="B23" i="39"/>
  <c r="R130" i="1"/>
  <c r="O20" i="1"/>
  <c r="F40" i="17"/>
  <c r="J108" i="29"/>
  <c r="E107" i="38"/>
  <c r="F107" i="38" s="1"/>
  <c r="H107" i="38" s="1"/>
  <c r="D107" i="39"/>
  <c r="G106" i="39"/>
  <c r="E107" i="39"/>
  <c r="B29" i="24"/>
  <c r="F29" i="24"/>
  <c r="H29" i="24" s="1"/>
  <c r="J113" i="3"/>
  <c r="E107" i="13"/>
  <c r="F107" i="13" s="1"/>
  <c r="B107" i="13"/>
  <c r="I106" i="13"/>
  <c r="H106" i="13"/>
  <c r="G24" i="31"/>
  <c r="I24" i="31" s="1"/>
  <c r="H31" i="4"/>
  <c r="I31" i="4" s="1"/>
  <c r="I28" i="28"/>
  <c r="G24" i="34"/>
  <c r="I24" i="34" s="1"/>
  <c r="H25" i="29"/>
  <c r="I25" i="29" s="1"/>
  <c r="I27" i="20"/>
  <c r="G24" i="35"/>
  <c r="I24" i="35" s="1"/>
  <c r="H28" i="23"/>
  <c r="I28" i="23" s="1"/>
  <c r="G27" i="26"/>
  <c r="I27" i="26" s="1"/>
  <c r="H26" i="13"/>
  <c r="I26" i="13" s="1"/>
  <c r="D23" i="38"/>
  <c r="E23" i="38"/>
  <c r="D29" i="27"/>
  <c r="E29" i="27"/>
  <c r="D31" i="19"/>
  <c r="E31" i="19"/>
  <c r="D27" i="25"/>
  <c r="E27" i="25"/>
  <c r="D29" i="21"/>
  <c r="E29" i="21"/>
  <c r="G28" i="27"/>
  <c r="I28" i="27" s="1"/>
  <c r="D28" i="26"/>
  <c r="E28" i="26"/>
  <c r="H22" i="38"/>
  <c r="B33" i="3"/>
  <c r="F33" i="3"/>
  <c r="D27" i="13"/>
  <c r="E27" i="13" s="1"/>
  <c r="D32" i="4"/>
  <c r="E32" i="4"/>
  <c r="E33" i="4"/>
  <c r="H30" i="19"/>
  <c r="D24" i="37"/>
  <c r="E24" i="37"/>
  <c r="F32" i="3"/>
  <c r="H32" i="3" s="1"/>
  <c r="E29" i="23"/>
  <c r="D29" i="23"/>
  <c r="I31" i="3"/>
  <c r="G30" i="19"/>
  <c r="D31" i="18"/>
  <c r="E31" i="18"/>
  <c r="D28" i="22"/>
  <c r="E28" i="22"/>
  <c r="E29" i="20"/>
  <c r="F29" i="20" s="1"/>
  <c r="H28" i="20"/>
  <c r="G28" i="20"/>
  <c r="B29" i="20"/>
  <c r="G28" i="21"/>
  <c r="I28" i="21" s="1"/>
  <c r="H27" i="22"/>
  <c r="H23" i="37"/>
  <c r="D25" i="34"/>
  <c r="E25" i="34"/>
  <c r="D25" i="31"/>
  <c r="E25" i="31"/>
  <c r="D25" i="35"/>
  <c r="E25" i="35"/>
  <c r="D26" i="29"/>
  <c r="E26" i="29"/>
  <c r="H30" i="18"/>
  <c r="G27" i="22"/>
  <c r="H26" i="25"/>
  <c r="I26" i="25" s="1"/>
  <c r="I113" i="4"/>
  <c r="B113" i="18"/>
  <c r="F113" i="18"/>
  <c r="H113" i="18" s="1"/>
  <c r="I112" i="18"/>
  <c r="B114" i="4"/>
  <c r="F114" i="4"/>
  <c r="H114" i="4" s="1"/>
  <c r="B106" i="37"/>
  <c r="F106" i="37"/>
  <c r="H106" i="37" s="1"/>
  <c r="D110" i="25"/>
  <c r="G109" i="25"/>
  <c r="E110" i="25"/>
  <c r="J108" i="25"/>
  <c r="I106" i="31"/>
  <c r="F107" i="35"/>
  <c r="H107" i="35" s="1"/>
  <c r="B107" i="35"/>
  <c r="B107" i="31"/>
  <c r="F107" i="31"/>
  <c r="H107" i="31" s="1"/>
  <c r="I106" i="35"/>
  <c r="I109" i="26"/>
  <c r="B111" i="28"/>
  <c r="F110" i="26"/>
  <c r="H110" i="26" s="1"/>
  <c r="B110" i="26"/>
  <c r="I105" i="37"/>
  <c r="I110" i="27"/>
  <c r="B111" i="24"/>
  <c r="F111" i="24"/>
  <c r="H111" i="24" s="1"/>
  <c r="I106" i="34"/>
  <c r="B111" i="27"/>
  <c r="F111" i="27"/>
  <c r="H111" i="27" s="1"/>
  <c r="B107" i="34"/>
  <c r="F107" i="34"/>
  <c r="H107" i="34" s="1"/>
  <c r="J112" i="19"/>
  <c r="D114" i="19"/>
  <c r="G113" i="19"/>
  <c r="E114" i="19"/>
  <c r="J109" i="22"/>
  <c r="I106" i="38"/>
  <c r="B111" i="21"/>
  <c r="F111" i="21"/>
  <c r="H111" i="21" s="1"/>
  <c r="I110" i="24"/>
  <c r="I110" i="21"/>
  <c r="B107" i="38"/>
  <c r="G110" i="22"/>
  <c r="D111" i="22"/>
  <c r="E111" i="22"/>
  <c r="E115" i="3"/>
  <c r="G114" i="3"/>
  <c r="D115" i="3"/>
  <c r="G107" i="20"/>
  <c r="D108" i="20"/>
  <c r="E108" i="20" s="1"/>
  <c r="J106" i="20"/>
  <c r="G109" i="29" l="1"/>
  <c r="H109" i="29"/>
  <c r="H35" i="28"/>
  <c r="G35" i="28"/>
  <c r="E36" i="28"/>
  <c r="F36" i="28" s="1"/>
  <c r="J112" i="23"/>
  <c r="D110" i="29"/>
  <c r="F110" i="29" s="1"/>
  <c r="G110" i="29" s="1"/>
  <c r="I110" i="29" s="1"/>
  <c r="G23" i="39"/>
  <c r="I23" i="39" s="1"/>
  <c r="D24" i="39"/>
  <c r="E24" i="39"/>
  <c r="G113" i="23"/>
  <c r="I113" i="23" s="1"/>
  <c r="H113" i="23"/>
  <c r="E114" i="23"/>
  <c r="F114" i="23" s="1"/>
  <c r="E115" i="23" s="1"/>
  <c r="I106" i="39"/>
  <c r="J106" i="39" s="1"/>
  <c r="F107" i="39"/>
  <c r="H107" i="39" s="1"/>
  <c r="B107" i="39"/>
  <c r="G29" i="24"/>
  <c r="I29" i="24" s="1"/>
  <c r="D30" i="24"/>
  <c r="E30" i="24"/>
  <c r="I109" i="29"/>
  <c r="J106" i="13"/>
  <c r="J110" i="28"/>
  <c r="J106" i="35"/>
  <c r="D108" i="13"/>
  <c r="G107" i="13"/>
  <c r="I28" i="20"/>
  <c r="I30" i="19"/>
  <c r="F25" i="31"/>
  <c r="H25" i="31" s="1"/>
  <c r="B25" i="31"/>
  <c r="I23" i="37"/>
  <c r="B29" i="28"/>
  <c r="D34" i="3"/>
  <c r="E34" i="3"/>
  <c r="B29" i="21"/>
  <c r="F29" i="21"/>
  <c r="F29" i="27"/>
  <c r="G29" i="27" s="1"/>
  <c r="B29" i="27"/>
  <c r="I27" i="22"/>
  <c r="F28" i="22"/>
  <c r="B28" i="22"/>
  <c r="G32" i="3"/>
  <c r="I32" i="3" s="1"/>
  <c r="G33" i="3"/>
  <c r="F31" i="18"/>
  <c r="G31" i="18" s="1"/>
  <c r="B31" i="18"/>
  <c r="I22" i="38"/>
  <c r="F23" i="38"/>
  <c r="G23" i="38" s="1"/>
  <c r="B23" i="38"/>
  <c r="I30" i="18"/>
  <c r="F26" i="29"/>
  <c r="B32" i="4"/>
  <c r="F32" i="4"/>
  <c r="D33" i="4" s="1"/>
  <c r="B27" i="25"/>
  <c r="F27" i="25"/>
  <c r="B24" i="37"/>
  <c r="F24" i="37"/>
  <c r="G24" i="37" s="1"/>
  <c r="B27" i="13"/>
  <c r="F27" i="13"/>
  <c r="H27" i="13" s="1"/>
  <c r="F28" i="26"/>
  <c r="G28" i="26" s="1"/>
  <c r="B28" i="26"/>
  <c r="F25" i="35"/>
  <c r="H25" i="35" s="1"/>
  <c r="B25" i="35"/>
  <c r="B31" i="19"/>
  <c r="F31" i="19"/>
  <c r="H31" i="19" s="1"/>
  <c r="F25" i="34"/>
  <c r="H25" i="34" s="1"/>
  <c r="B25" i="34"/>
  <c r="G29" i="20"/>
  <c r="H29" i="20"/>
  <c r="B30" i="20"/>
  <c r="E30" i="20"/>
  <c r="F30" i="20" s="1"/>
  <c r="B29" i="23"/>
  <c r="F29" i="23"/>
  <c r="G29" i="23" s="1"/>
  <c r="H33" i="3"/>
  <c r="D115" i="4"/>
  <c r="E115" i="4"/>
  <c r="G114" i="4"/>
  <c r="J112" i="18"/>
  <c r="G113" i="18"/>
  <c r="D114" i="18"/>
  <c r="E114" i="18"/>
  <c r="J109" i="26"/>
  <c r="J113" i="4"/>
  <c r="J106" i="38"/>
  <c r="J105" i="37"/>
  <c r="J106" i="31"/>
  <c r="E108" i="31"/>
  <c r="G107" i="31"/>
  <c r="D108" i="31"/>
  <c r="I109" i="25"/>
  <c r="F110" i="25"/>
  <c r="H110" i="25" s="1"/>
  <c r="B110" i="25"/>
  <c r="D111" i="26"/>
  <c r="G110" i="26"/>
  <c r="E111" i="26"/>
  <c r="G106" i="37"/>
  <c r="E107" i="37"/>
  <c r="D107" i="37"/>
  <c r="J110" i="24"/>
  <c r="G107" i="35"/>
  <c r="D108" i="35"/>
  <c r="E108" i="35"/>
  <c r="J110" i="27"/>
  <c r="F114" i="19"/>
  <c r="H114" i="19" s="1"/>
  <c r="B114" i="19"/>
  <c r="J106" i="34"/>
  <c r="I113" i="19"/>
  <c r="D108" i="38"/>
  <c r="G107" i="38"/>
  <c r="G107" i="34"/>
  <c r="D108" i="34"/>
  <c r="E108" i="34"/>
  <c r="G111" i="24"/>
  <c r="D112" i="24"/>
  <c r="E112" i="24"/>
  <c r="D112" i="27"/>
  <c r="G111" i="27"/>
  <c r="E112" i="27"/>
  <c r="D112" i="21"/>
  <c r="G111" i="21"/>
  <c r="E112" i="21"/>
  <c r="J110" i="21"/>
  <c r="I107" i="20"/>
  <c r="H107" i="20"/>
  <c r="F115" i="3"/>
  <c r="H115" i="3" s="1"/>
  <c r="B115" i="3"/>
  <c r="I114" i="3"/>
  <c r="B111" i="22"/>
  <c r="F111" i="22"/>
  <c r="H111" i="22" s="1"/>
  <c r="B108" i="20"/>
  <c r="F108" i="20"/>
  <c r="I110" i="22"/>
  <c r="H36" i="28" l="1"/>
  <c r="G36" i="28"/>
  <c r="E37" i="28"/>
  <c r="F37" i="28" s="1"/>
  <c r="F24" i="39"/>
  <c r="G24" i="39" s="1"/>
  <c r="B24" i="39"/>
  <c r="D115" i="23"/>
  <c r="F115" i="23" s="1"/>
  <c r="E111" i="29"/>
  <c r="J113" i="23"/>
  <c r="G114" i="23"/>
  <c r="I114" i="23" s="1"/>
  <c r="H110" i="29"/>
  <c r="J110" i="29" s="1"/>
  <c r="H114" i="23"/>
  <c r="D111" i="29"/>
  <c r="E108" i="38"/>
  <c r="F108" i="38" s="1"/>
  <c r="H108" i="38" s="1"/>
  <c r="D108" i="39"/>
  <c r="G107" i="39"/>
  <c r="E108" i="39"/>
  <c r="B30" i="24"/>
  <c r="F30" i="24"/>
  <c r="G30" i="24" s="1"/>
  <c r="J109" i="29"/>
  <c r="H28" i="26"/>
  <c r="I28" i="26" s="1"/>
  <c r="I107" i="13"/>
  <c r="H107" i="13"/>
  <c r="E108" i="13"/>
  <c r="F108" i="13" s="1"/>
  <c r="B108" i="13"/>
  <c r="I33" i="3"/>
  <c r="H29" i="23"/>
  <c r="I29" i="23" s="1"/>
  <c r="H24" i="37"/>
  <c r="I24" i="37" s="1"/>
  <c r="H23" i="38"/>
  <c r="I23" i="38" s="1"/>
  <c r="H31" i="18"/>
  <c r="I31" i="18" s="1"/>
  <c r="G25" i="31"/>
  <c r="I25" i="31" s="1"/>
  <c r="I29" i="20"/>
  <c r="I29" i="28"/>
  <c r="D27" i="29"/>
  <c r="E27" i="29"/>
  <c r="D32" i="19"/>
  <c r="E32" i="19"/>
  <c r="E33" i="19"/>
  <c r="G32" i="4"/>
  <c r="D29" i="22"/>
  <c r="E29" i="22"/>
  <c r="D30" i="21"/>
  <c r="E30" i="21"/>
  <c r="D29" i="26"/>
  <c r="E29" i="26"/>
  <c r="G28" i="22"/>
  <c r="G29" i="21"/>
  <c r="D28" i="13"/>
  <c r="D28" i="25"/>
  <c r="E28" i="25"/>
  <c r="D32" i="18"/>
  <c r="E33" i="18"/>
  <c r="E32" i="18"/>
  <c r="H32" i="4"/>
  <c r="H29" i="21"/>
  <c r="E30" i="23"/>
  <c r="D30" i="23"/>
  <c r="D26" i="34"/>
  <c r="E26" i="34"/>
  <c r="D26" i="35"/>
  <c r="E26" i="35"/>
  <c r="F34" i="3"/>
  <c r="B34" i="3"/>
  <c r="F33" i="4"/>
  <c r="H33" i="4" s="1"/>
  <c r="B33" i="4"/>
  <c r="G25" i="34"/>
  <c r="I25" i="34" s="1"/>
  <c r="G25" i="35"/>
  <c r="I25" i="35" s="1"/>
  <c r="G27" i="13"/>
  <c r="I27" i="13" s="1"/>
  <c r="G27" i="25"/>
  <c r="H26" i="29"/>
  <c r="D24" i="38"/>
  <c r="E24" i="38"/>
  <c r="D30" i="27"/>
  <c r="E30" i="27"/>
  <c r="G30" i="20"/>
  <c r="H30" i="20"/>
  <c r="B31" i="20"/>
  <c r="E31" i="20"/>
  <c r="F31" i="20" s="1"/>
  <c r="G31" i="19"/>
  <c r="I31" i="19" s="1"/>
  <c r="D25" i="37"/>
  <c r="E25" i="37"/>
  <c r="H27" i="25"/>
  <c r="G26" i="29"/>
  <c r="H28" i="22"/>
  <c r="H29" i="27"/>
  <c r="I29" i="27" s="1"/>
  <c r="D26" i="31"/>
  <c r="E26" i="31"/>
  <c r="F115" i="4"/>
  <c r="H115" i="4" s="1"/>
  <c r="B115" i="4"/>
  <c r="F114" i="18"/>
  <c r="H114" i="18" s="1"/>
  <c r="B114" i="18"/>
  <c r="I113" i="18"/>
  <c r="I114" i="4"/>
  <c r="J109" i="25"/>
  <c r="B112" i="28"/>
  <c r="B108" i="35"/>
  <c r="F108" i="35"/>
  <c r="H108" i="35" s="1"/>
  <c r="B108" i="31"/>
  <c r="F108" i="31"/>
  <c r="H108" i="31" s="1"/>
  <c r="I107" i="35"/>
  <c r="I107" i="31"/>
  <c r="I110" i="26"/>
  <c r="B111" i="26"/>
  <c r="F111" i="26"/>
  <c r="H111" i="26" s="1"/>
  <c r="B107" i="37"/>
  <c r="F107" i="37"/>
  <c r="H107" i="37" s="1"/>
  <c r="J113" i="19"/>
  <c r="I106" i="37"/>
  <c r="D111" i="25"/>
  <c r="G110" i="25"/>
  <c r="E111" i="25"/>
  <c r="I111" i="21"/>
  <c r="I107" i="34"/>
  <c r="B108" i="38"/>
  <c r="B112" i="21"/>
  <c r="F112" i="21"/>
  <c r="H112" i="21" s="1"/>
  <c r="I111" i="27"/>
  <c r="D115" i="19"/>
  <c r="G114" i="19"/>
  <c r="E115" i="19"/>
  <c r="B112" i="27"/>
  <c r="F112" i="27"/>
  <c r="H112" i="27" s="1"/>
  <c r="F112" i="24"/>
  <c r="H112" i="24" s="1"/>
  <c r="B112" i="24"/>
  <c r="I111" i="24"/>
  <c r="J114" i="3"/>
  <c r="B108" i="34"/>
  <c r="F108" i="34"/>
  <c r="H108" i="34" s="1"/>
  <c r="I107" i="38"/>
  <c r="G111" i="22"/>
  <c r="D112" i="22"/>
  <c r="E112" i="22"/>
  <c r="D116" i="3"/>
  <c r="G115" i="3"/>
  <c r="E116" i="3"/>
  <c r="J107" i="20"/>
  <c r="J110" i="22"/>
  <c r="G108" i="20"/>
  <c r="D109" i="20"/>
  <c r="E109" i="20" s="1"/>
  <c r="J114" i="23" l="1"/>
  <c r="H24" i="39"/>
  <c r="I24" i="39" s="1"/>
  <c r="H37" i="28"/>
  <c r="G37" i="28"/>
  <c r="E38" i="28"/>
  <c r="F38" i="28" s="1"/>
  <c r="E116" i="23"/>
  <c r="H115" i="23"/>
  <c r="G115" i="23"/>
  <c r="I115" i="23" s="1"/>
  <c r="F111" i="29"/>
  <c r="D112" i="29" s="1"/>
  <c r="D25" i="39"/>
  <c r="E25" i="39"/>
  <c r="D116" i="23"/>
  <c r="I107" i="39"/>
  <c r="F108" i="39"/>
  <c r="H108" i="39" s="1"/>
  <c r="B108" i="39"/>
  <c r="H30" i="24"/>
  <c r="I30" i="24" s="1"/>
  <c r="D31" i="24"/>
  <c r="E31" i="24"/>
  <c r="D109" i="13"/>
  <c r="G108" i="13"/>
  <c r="J107" i="13"/>
  <c r="I30" i="20"/>
  <c r="I28" i="22"/>
  <c r="I29" i="21"/>
  <c r="J114" i="4"/>
  <c r="D35" i="3"/>
  <c r="E35" i="3"/>
  <c r="F26" i="34"/>
  <c r="H26" i="34" s="1"/>
  <c r="B26" i="34"/>
  <c r="F32" i="18"/>
  <c r="D33" i="18" s="1"/>
  <c r="B32" i="18"/>
  <c r="B29" i="22"/>
  <c r="F29" i="22"/>
  <c r="H29" i="22" s="1"/>
  <c r="F24" i="38"/>
  <c r="H24" i="38" s="1"/>
  <c r="B24" i="38"/>
  <c r="D34" i="4"/>
  <c r="E34" i="4"/>
  <c r="F30" i="23"/>
  <c r="B30" i="23"/>
  <c r="J111" i="21"/>
  <c r="I27" i="25"/>
  <c r="I26" i="29"/>
  <c r="G33" i="4"/>
  <c r="I33" i="4" s="1"/>
  <c r="B28" i="25"/>
  <c r="F28" i="25"/>
  <c r="G28" i="25" s="1"/>
  <c r="B28" i="13"/>
  <c r="B29" i="26"/>
  <c r="F29" i="26"/>
  <c r="H29" i="26" s="1"/>
  <c r="B25" i="37"/>
  <c r="F25" i="37"/>
  <c r="H25" i="37" s="1"/>
  <c r="I32" i="4"/>
  <c r="E28" i="13"/>
  <c r="F28" i="13" s="1"/>
  <c r="J110" i="26"/>
  <c r="B30" i="28"/>
  <c r="G34" i="3"/>
  <c r="B32" i="19"/>
  <c r="F32" i="19"/>
  <c r="D33" i="19" s="1"/>
  <c r="B26" i="31"/>
  <c r="F26" i="31"/>
  <c r="G26" i="31" s="1"/>
  <c r="E32" i="20"/>
  <c r="F32" i="20" s="1"/>
  <c r="E33" i="20"/>
  <c r="F33" i="20" s="1"/>
  <c r="B32" i="20"/>
  <c r="H31" i="20"/>
  <c r="G31" i="20"/>
  <c r="H34" i="3"/>
  <c r="B26" i="35"/>
  <c r="F26" i="35"/>
  <c r="H26" i="35" s="1"/>
  <c r="F30" i="21"/>
  <c r="H30" i="21" s="1"/>
  <c r="B30" i="21"/>
  <c r="J113" i="18"/>
  <c r="B30" i="27"/>
  <c r="F30" i="27"/>
  <c r="H30" i="27" s="1"/>
  <c r="F27" i="29"/>
  <c r="H27" i="29" s="1"/>
  <c r="J107" i="31"/>
  <c r="D115" i="18"/>
  <c r="E115" i="18"/>
  <c r="G114" i="18"/>
  <c r="E116" i="4"/>
  <c r="G115" i="4"/>
  <c r="D116" i="4"/>
  <c r="D112" i="26"/>
  <c r="G111" i="26"/>
  <c r="E112" i="26"/>
  <c r="G108" i="31"/>
  <c r="E109" i="31"/>
  <c r="D109" i="31"/>
  <c r="I110" i="25"/>
  <c r="B111" i="25"/>
  <c r="F111" i="25"/>
  <c r="H111" i="25" s="1"/>
  <c r="J111" i="28"/>
  <c r="J106" i="37"/>
  <c r="D109" i="35"/>
  <c r="E109" i="35"/>
  <c r="G108" i="35"/>
  <c r="G107" i="37"/>
  <c r="D108" i="37"/>
  <c r="E108" i="37"/>
  <c r="J107" i="35"/>
  <c r="J107" i="38"/>
  <c r="J111" i="27"/>
  <c r="J111" i="24"/>
  <c r="F115" i="19"/>
  <c r="H115" i="19" s="1"/>
  <c r="B115" i="19"/>
  <c r="D109" i="34"/>
  <c r="G108" i="34"/>
  <c r="E109" i="34"/>
  <c r="D109" i="38"/>
  <c r="G108" i="38"/>
  <c r="J107" i="34"/>
  <c r="G112" i="24"/>
  <c r="D113" i="24"/>
  <c r="E113" i="24"/>
  <c r="D113" i="27"/>
  <c r="G112" i="27"/>
  <c r="E113" i="27"/>
  <c r="I114" i="19"/>
  <c r="G112" i="21"/>
  <c r="D113" i="21"/>
  <c r="E113" i="21"/>
  <c r="I108" i="20"/>
  <c r="H108" i="20"/>
  <c r="F109" i="20"/>
  <c r="B109" i="20"/>
  <c r="F112" i="22"/>
  <c r="H112" i="22" s="1"/>
  <c r="B112" i="22"/>
  <c r="B116" i="3"/>
  <c r="F116" i="3"/>
  <c r="H116" i="3" s="1"/>
  <c r="I111" i="22"/>
  <c r="I115" i="3"/>
  <c r="H38" i="28" l="1"/>
  <c r="G38" i="28"/>
  <c r="E39" i="28"/>
  <c r="F39" i="28" s="1"/>
  <c r="G111" i="29"/>
  <c r="I111" i="29" s="1"/>
  <c r="E112" i="29"/>
  <c r="F112" i="29" s="1"/>
  <c r="G112" i="29" s="1"/>
  <c r="I112" i="29" s="1"/>
  <c r="H111" i="29"/>
  <c r="F25" i="39"/>
  <c r="G25" i="39" s="1"/>
  <c r="B25" i="39"/>
  <c r="F116" i="23"/>
  <c r="G116" i="23" s="1"/>
  <c r="I116" i="23" s="1"/>
  <c r="E109" i="38"/>
  <c r="F109" i="38" s="1"/>
  <c r="H109" i="38" s="1"/>
  <c r="H112" i="29"/>
  <c r="J107" i="39"/>
  <c r="G108" i="39"/>
  <c r="E109" i="39"/>
  <c r="D109" i="39"/>
  <c r="B31" i="24"/>
  <c r="F31" i="24"/>
  <c r="G31" i="24" s="1"/>
  <c r="G26" i="34"/>
  <c r="I26" i="34" s="1"/>
  <c r="H108" i="13"/>
  <c r="I108" i="13"/>
  <c r="E109" i="13"/>
  <c r="F109" i="13" s="1"/>
  <c r="B109" i="13"/>
  <c r="G25" i="37"/>
  <c r="I25" i="37" s="1"/>
  <c r="G29" i="26"/>
  <c r="I29" i="26" s="1"/>
  <c r="I34" i="3"/>
  <c r="G30" i="21"/>
  <c r="I30" i="21" s="1"/>
  <c r="I31" i="20"/>
  <c r="G32" i="19"/>
  <c r="D29" i="13"/>
  <c r="E29" i="13" s="1"/>
  <c r="H28" i="13"/>
  <c r="G28" i="13"/>
  <c r="G26" i="35"/>
  <c r="I26" i="35" s="1"/>
  <c r="G32" i="18"/>
  <c r="D27" i="31"/>
  <c r="E27" i="31"/>
  <c r="D31" i="23"/>
  <c r="E31" i="23"/>
  <c r="D25" i="38"/>
  <c r="E25" i="38"/>
  <c r="B33" i="18"/>
  <c r="F33" i="18"/>
  <c r="G33" i="18" s="1"/>
  <c r="D28" i="29"/>
  <c r="E28" i="29"/>
  <c r="H26" i="31"/>
  <c r="I26" i="31" s="1"/>
  <c r="H30" i="23"/>
  <c r="G27" i="29"/>
  <c r="I27" i="29" s="1"/>
  <c r="D26" i="37"/>
  <c r="E26" i="37"/>
  <c r="G30" i="23"/>
  <c r="D30" i="22"/>
  <c r="E30" i="22"/>
  <c r="D31" i="27"/>
  <c r="E31" i="27"/>
  <c r="B33" i="19"/>
  <c r="F33" i="19"/>
  <c r="G33" i="19" s="1"/>
  <c r="I30" i="28"/>
  <c r="G29" i="22"/>
  <c r="I29" i="22" s="1"/>
  <c r="G30" i="27"/>
  <c r="I30" i="27" s="1"/>
  <c r="D31" i="21"/>
  <c r="E31" i="21"/>
  <c r="F34" i="4"/>
  <c r="H34" i="4" s="1"/>
  <c r="B34" i="4"/>
  <c r="D27" i="34"/>
  <c r="E27" i="34"/>
  <c r="D27" i="35"/>
  <c r="E27" i="35"/>
  <c r="E34" i="20"/>
  <c r="F34" i="20" s="1"/>
  <c r="B34" i="20"/>
  <c r="H33" i="20"/>
  <c r="G33" i="20"/>
  <c r="D29" i="25"/>
  <c r="E29" i="25"/>
  <c r="G32" i="20"/>
  <c r="H32" i="20"/>
  <c r="B33" i="20"/>
  <c r="H32" i="19"/>
  <c r="D30" i="26"/>
  <c r="E30" i="26"/>
  <c r="H28" i="25"/>
  <c r="I28" i="25" s="1"/>
  <c r="G24" i="38"/>
  <c r="I24" i="38" s="1"/>
  <c r="H32" i="18"/>
  <c r="F35" i="3"/>
  <c r="H35" i="3" s="1"/>
  <c r="B35" i="3"/>
  <c r="J110" i="25"/>
  <c r="B116" i="4"/>
  <c r="F116" i="4"/>
  <c r="H116" i="4" s="1"/>
  <c r="I115" i="4"/>
  <c r="I114" i="18"/>
  <c r="B115" i="18"/>
  <c r="F115" i="18"/>
  <c r="H115" i="18" s="1"/>
  <c r="I107" i="37"/>
  <c r="I108" i="35"/>
  <c r="B109" i="31"/>
  <c r="F109" i="31"/>
  <c r="H109" i="31" s="1"/>
  <c r="B113" i="28"/>
  <c r="B109" i="35"/>
  <c r="F109" i="35"/>
  <c r="H109" i="35" s="1"/>
  <c r="I108" i="31"/>
  <c r="G111" i="25"/>
  <c r="D112" i="25"/>
  <c r="E112" i="25"/>
  <c r="I111" i="26"/>
  <c r="F108" i="37"/>
  <c r="H108" i="37" s="1"/>
  <c r="B108" i="37"/>
  <c r="F112" i="26"/>
  <c r="H112" i="26" s="1"/>
  <c r="B112" i="26"/>
  <c r="J115" i="3"/>
  <c r="J114" i="19"/>
  <c r="B113" i="24"/>
  <c r="F113" i="24"/>
  <c r="H113" i="24" s="1"/>
  <c r="J111" i="22"/>
  <c r="I112" i="24"/>
  <c r="B109" i="38"/>
  <c r="D116" i="19"/>
  <c r="G115" i="19"/>
  <c r="E116" i="19"/>
  <c r="I112" i="27"/>
  <c r="F113" i="27"/>
  <c r="H113" i="27" s="1"/>
  <c r="B113" i="27"/>
  <c r="B113" i="21"/>
  <c r="F113" i="21"/>
  <c r="H113" i="21" s="1"/>
  <c r="I108" i="34"/>
  <c r="J115" i="23"/>
  <c r="I112" i="21"/>
  <c r="I108" i="38"/>
  <c r="B109" i="34"/>
  <c r="F109" i="34"/>
  <c r="H109" i="34" s="1"/>
  <c r="G112" i="22"/>
  <c r="D113" i="22"/>
  <c r="E113" i="22"/>
  <c r="D117" i="3"/>
  <c r="G116" i="3"/>
  <c r="E117" i="3"/>
  <c r="G109" i="20"/>
  <c r="D110" i="20"/>
  <c r="E110" i="20" s="1"/>
  <c r="J108" i="20"/>
  <c r="H39" i="28" l="1"/>
  <c r="G39" i="28"/>
  <c r="E40" i="28"/>
  <c r="F40" i="28" s="1"/>
  <c r="J111" i="29"/>
  <c r="D113" i="29"/>
  <c r="J112" i="29"/>
  <c r="E113" i="29"/>
  <c r="F113" i="29" s="1"/>
  <c r="E114" i="29" s="1"/>
  <c r="E117" i="23"/>
  <c r="H25" i="39"/>
  <c r="I25" i="39" s="1"/>
  <c r="E26" i="39"/>
  <c r="D26" i="39"/>
  <c r="D117" i="23"/>
  <c r="H116" i="23"/>
  <c r="J116" i="23" s="1"/>
  <c r="I108" i="39"/>
  <c r="J108" i="39" s="1"/>
  <c r="F109" i="39"/>
  <c r="H109" i="39" s="1"/>
  <c r="B109" i="39"/>
  <c r="I32" i="19"/>
  <c r="G35" i="3"/>
  <c r="I35" i="3" s="1"/>
  <c r="J108" i="13"/>
  <c r="H31" i="24"/>
  <c r="I31" i="24" s="1"/>
  <c r="D32" i="24"/>
  <c r="E32" i="24"/>
  <c r="G109" i="13"/>
  <c r="D110" i="13"/>
  <c r="I33" i="20"/>
  <c r="I30" i="23"/>
  <c r="I32" i="18"/>
  <c r="F29" i="25"/>
  <c r="G29" i="25" s="1"/>
  <c r="B29" i="25"/>
  <c r="H33" i="18"/>
  <c r="I33" i="18" s="1"/>
  <c r="B27" i="34"/>
  <c r="F27" i="34"/>
  <c r="G27" i="34" s="1"/>
  <c r="B31" i="28"/>
  <c r="B30" i="26"/>
  <c r="F30" i="26"/>
  <c r="B31" i="27"/>
  <c r="F31" i="27"/>
  <c r="G31" i="27" s="1"/>
  <c r="B25" i="38"/>
  <c r="F25" i="38"/>
  <c r="G25" i="38" s="1"/>
  <c r="J108" i="31"/>
  <c r="J114" i="18"/>
  <c r="F26" i="37"/>
  <c r="G26" i="37" s="1"/>
  <c r="B26" i="37"/>
  <c r="I28" i="13"/>
  <c r="B35" i="20"/>
  <c r="H34" i="20"/>
  <c r="G34" i="20"/>
  <c r="E35" i="20"/>
  <c r="F35" i="20" s="1"/>
  <c r="D35" i="4"/>
  <c r="E35" i="4"/>
  <c r="D34" i="19"/>
  <c r="E34" i="19"/>
  <c r="F30" i="22"/>
  <c r="H30" i="22" s="1"/>
  <c r="B30" i="22"/>
  <c r="F28" i="29"/>
  <c r="H28" i="29" s="1"/>
  <c r="F31" i="23"/>
  <c r="B31" i="23"/>
  <c r="J108" i="35"/>
  <c r="J115" i="4"/>
  <c r="D36" i="3"/>
  <c r="E36" i="3"/>
  <c r="I32" i="20"/>
  <c r="G34" i="4"/>
  <c r="I34" i="4" s="1"/>
  <c r="H33" i="19"/>
  <c r="I33" i="19" s="1"/>
  <c r="B29" i="13"/>
  <c r="F29" i="13"/>
  <c r="H29" i="13" s="1"/>
  <c r="B27" i="35"/>
  <c r="F27" i="35"/>
  <c r="H27" i="35" s="1"/>
  <c r="D34" i="18"/>
  <c r="E34" i="18"/>
  <c r="F27" i="31"/>
  <c r="H27" i="31" s="1"/>
  <c r="B27" i="31"/>
  <c r="B31" i="21"/>
  <c r="F31" i="21"/>
  <c r="H31" i="21" s="1"/>
  <c r="D117" i="4"/>
  <c r="G116" i="4"/>
  <c r="E117" i="4"/>
  <c r="G115" i="18"/>
  <c r="D116" i="18"/>
  <c r="E116" i="18"/>
  <c r="J108" i="38"/>
  <c r="B112" i="25"/>
  <c r="F112" i="25"/>
  <c r="H112" i="25" s="1"/>
  <c r="G112" i="26"/>
  <c r="D113" i="26"/>
  <c r="E113" i="26"/>
  <c r="E110" i="31"/>
  <c r="D110" i="31"/>
  <c r="G109" i="31"/>
  <c r="D109" i="37"/>
  <c r="G108" i="37"/>
  <c r="E109" i="37"/>
  <c r="I111" i="25"/>
  <c r="J112" i="28"/>
  <c r="J111" i="26"/>
  <c r="D110" i="35"/>
  <c r="E110" i="35"/>
  <c r="G109" i="35"/>
  <c r="J107" i="37"/>
  <c r="J112" i="27"/>
  <c r="D114" i="21"/>
  <c r="G113" i="21"/>
  <c r="E114" i="21"/>
  <c r="I115" i="19"/>
  <c r="F116" i="19"/>
  <c r="H116" i="19" s="1"/>
  <c r="B116" i="19"/>
  <c r="G109" i="34"/>
  <c r="D110" i="34"/>
  <c r="E110" i="34"/>
  <c r="J108" i="34"/>
  <c r="D114" i="27"/>
  <c r="G113" i="27"/>
  <c r="E114" i="27"/>
  <c r="G109" i="38"/>
  <c r="D110" i="38"/>
  <c r="J112" i="24"/>
  <c r="G113" i="24"/>
  <c r="D114" i="24"/>
  <c r="E114" i="24"/>
  <c r="J112" i="21"/>
  <c r="I116" i="3"/>
  <c r="B110" i="20"/>
  <c r="F110" i="20"/>
  <c r="B113" i="22"/>
  <c r="F113" i="22"/>
  <c r="H113" i="22" s="1"/>
  <c r="H109" i="20"/>
  <c r="I109" i="20"/>
  <c r="I112" i="22"/>
  <c r="F117" i="3"/>
  <c r="H117" i="3" s="1"/>
  <c r="B117" i="3"/>
  <c r="F117" i="23" l="1"/>
  <c r="G117" i="23" s="1"/>
  <c r="H40" i="28"/>
  <c r="G40" i="28"/>
  <c r="E41" i="28"/>
  <c r="F41" i="28" s="1"/>
  <c r="G113" i="29"/>
  <c r="I113" i="29" s="1"/>
  <c r="H113" i="29"/>
  <c r="D114" i="29"/>
  <c r="F114" i="29" s="1"/>
  <c r="G114" i="29" s="1"/>
  <c r="I114" i="29" s="1"/>
  <c r="B26" i="39"/>
  <c r="F26" i="39"/>
  <c r="H26" i="39" s="1"/>
  <c r="E118" i="23"/>
  <c r="H117" i="23"/>
  <c r="D118" i="23"/>
  <c r="E110" i="38"/>
  <c r="F110" i="38" s="1"/>
  <c r="H110" i="38" s="1"/>
  <c r="D110" i="39"/>
  <c r="G109" i="39"/>
  <c r="E110" i="39"/>
  <c r="B32" i="24"/>
  <c r="F32" i="24"/>
  <c r="H32" i="24" s="1"/>
  <c r="G27" i="35"/>
  <c r="I27" i="35" s="1"/>
  <c r="J115" i="19"/>
  <c r="E110" i="13"/>
  <c r="F110" i="13" s="1"/>
  <c r="B110" i="13"/>
  <c r="I109" i="13"/>
  <c r="H109" i="13"/>
  <c r="G29" i="13"/>
  <c r="I29" i="13" s="1"/>
  <c r="G28" i="29"/>
  <c r="I28" i="29" s="1"/>
  <c r="I31" i="28"/>
  <c r="G30" i="22"/>
  <c r="I30" i="22" s="1"/>
  <c r="F35" i="4"/>
  <c r="G35" i="4" s="1"/>
  <c r="B35" i="4"/>
  <c r="G35" i="20"/>
  <c r="E36" i="20"/>
  <c r="F36" i="20" s="1"/>
  <c r="B36" i="20"/>
  <c r="H35" i="20"/>
  <c r="D27" i="37"/>
  <c r="E27" i="37"/>
  <c r="D32" i="27"/>
  <c r="E32" i="27"/>
  <c r="D32" i="21"/>
  <c r="E32" i="21"/>
  <c r="E33" i="21"/>
  <c r="B34" i="18"/>
  <c r="F34" i="18"/>
  <c r="H34" i="18" s="1"/>
  <c r="D32" i="23"/>
  <c r="E32" i="23"/>
  <c r="I34" i="20"/>
  <c r="H31" i="27"/>
  <c r="I31" i="27" s="1"/>
  <c r="H29" i="25"/>
  <c r="I29" i="25" s="1"/>
  <c r="G31" i="21"/>
  <c r="I31" i="21" s="1"/>
  <c r="D28" i="35"/>
  <c r="E28" i="35"/>
  <c r="H31" i="23"/>
  <c r="D31" i="22"/>
  <c r="E31" i="22"/>
  <c r="H25" i="38"/>
  <c r="I25" i="38" s="1"/>
  <c r="D31" i="26"/>
  <c r="E31" i="26"/>
  <c r="G31" i="23"/>
  <c r="H30" i="26"/>
  <c r="D28" i="34"/>
  <c r="E28" i="34"/>
  <c r="D28" i="31"/>
  <c r="E28" i="31"/>
  <c r="B34" i="19"/>
  <c r="F34" i="19"/>
  <c r="H34" i="19" s="1"/>
  <c r="D26" i="38"/>
  <c r="E26" i="38"/>
  <c r="D30" i="25"/>
  <c r="E30" i="25"/>
  <c r="G27" i="31"/>
  <c r="I27" i="31" s="1"/>
  <c r="D30" i="13"/>
  <c r="E30" i="13" s="1"/>
  <c r="F36" i="3"/>
  <c r="H36" i="3" s="1"/>
  <c r="B36" i="3"/>
  <c r="D29" i="29"/>
  <c r="E29" i="29"/>
  <c r="H26" i="37"/>
  <c r="I26" i="37" s="1"/>
  <c r="G30" i="26"/>
  <c r="H27" i="34"/>
  <c r="I27" i="34" s="1"/>
  <c r="B116" i="18"/>
  <c r="F116" i="18"/>
  <c r="H116" i="18" s="1"/>
  <c r="I115" i="18"/>
  <c r="I116" i="4"/>
  <c r="F117" i="4"/>
  <c r="H117" i="4" s="1"/>
  <c r="B117" i="4"/>
  <c r="B113" i="26"/>
  <c r="F113" i="26"/>
  <c r="H113" i="26" s="1"/>
  <c r="I112" i="26"/>
  <c r="I109" i="35"/>
  <c r="I108" i="37"/>
  <c r="F109" i="37"/>
  <c r="H109" i="37" s="1"/>
  <c r="B109" i="37"/>
  <c r="B114" i="28"/>
  <c r="F110" i="35"/>
  <c r="H110" i="35" s="1"/>
  <c r="B110" i="35"/>
  <c r="I109" i="31"/>
  <c r="B110" i="31"/>
  <c r="F110" i="31"/>
  <c r="H110" i="31" s="1"/>
  <c r="G112" i="25"/>
  <c r="D113" i="25"/>
  <c r="E113" i="25"/>
  <c r="J109" i="20"/>
  <c r="J116" i="3"/>
  <c r="J111" i="25"/>
  <c r="B110" i="38"/>
  <c r="I109" i="38"/>
  <c r="F110" i="34"/>
  <c r="H110" i="34" s="1"/>
  <c r="B110" i="34"/>
  <c r="B114" i="27"/>
  <c r="F114" i="27"/>
  <c r="H114" i="27" s="1"/>
  <c r="I109" i="34"/>
  <c r="I113" i="21"/>
  <c r="I113" i="24"/>
  <c r="B114" i="24"/>
  <c r="F114" i="24"/>
  <c r="H114" i="24" s="1"/>
  <c r="I113" i="27"/>
  <c r="D117" i="19"/>
  <c r="G116" i="19"/>
  <c r="E117" i="19"/>
  <c r="F114" i="21"/>
  <c r="H114" i="21" s="1"/>
  <c r="B114" i="21"/>
  <c r="J112" i="22"/>
  <c r="D114" i="22"/>
  <c r="G113" i="22"/>
  <c r="E114" i="22"/>
  <c r="D111" i="20"/>
  <c r="E111" i="20" s="1"/>
  <c r="G110" i="20"/>
  <c r="I117" i="23"/>
  <c r="G117" i="3"/>
  <c r="E118" i="3"/>
  <c r="D118" i="3"/>
  <c r="J113" i="29" l="1"/>
  <c r="H41" i="28"/>
  <c r="G41" i="28"/>
  <c r="E42" i="28"/>
  <c r="F42" i="28" s="1"/>
  <c r="F118" i="23"/>
  <c r="D119" i="23" s="1"/>
  <c r="G26" i="39"/>
  <c r="I26" i="39" s="1"/>
  <c r="E27" i="39"/>
  <c r="D27" i="39"/>
  <c r="D115" i="29"/>
  <c r="E115" i="29"/>
  <c r="H114" i="29"/>
  <c r="J114" i="29" s="1"/>
  <c r="I109" i="39"/>
  <c r="B110" i="39"/>
  <c r="F110" i="39"/>
  <c r="H110" i="39" s="1"/>
  <c r="G32" i="24"/>
  <c r="I32" i="24" s="1"/>
  <c r="D33" i="24"/>
  <c r="E33" i="24"/>
  <c r="J109" i="13"/>
  <c r="D111" i="13"/>
  <c r="G110" i="13"/>
  <c r="H35" i="4"/>
  <c r="I35" i="4" s="1"/>
  <c r="G36" i="3"/>
  <c r="I36" i="3" s="1"/>
  <c r="G34" i="19"/>
  <c r="I34" i="19" s="1"/>
  <c r="I31" i="23"/>
  <c r="F30" i="25"/>
  <c r="G30" i="25" s="1"/>
  <c r="B30" i="25"/>
  <c r="B28" i="31"/>
  <c r="F28" i="31"/>
  <c r="H28" i="31" s="1"/>
  <c r="B32" i="28"/>
  <c r="F31" i="22"/>
  <c r="B31" i="22"/>
  <c r="D35" i="18"/>
  <c r="E35" i="18"/>
  <c r="B26" i="38"/>
  <c r="F26" i="38"/>
  <c r="G26" i="38" s="1"/>
  <c r="B28" i="34"/>
  <c r="F28" i="34"/>
  <c r="H28" i="34" s="1"/>
  <c r="B32" i="23"/>
  <c r="F32" i="23"/>
  <c r="H32" i="23" s="1"/>
  <c r="F32" i="27"/>
  <c r="H32" i="27" s="1"/>
  <c r="B32" i="27"/>
  <c r="D37" i="3"/>
  <c r="E37" i="3"/>
  <c r="I30" i="26"/>
  <c r="G34" i="18"/>
  <c r="I34" i="18" s="1"/>
  <c r="B28" i="35"/>
  <c r="F28" i="35"/>
  <c r="G28" i="35" s="1"/>
  <c r="B27" i="37"/>
  <c r="F27" i="37"/>
  <c r="D36" i="4"/>
  <c r="E36" i="4"/>
  <c r="J116" i="4"/>
  <c r="F30" i="13"/>
  <c r="G30" i="13" s="1"/>
  <c r="B30" i="13"/>
  <c r="D35" i="19"/>
  <c r="E35" i="19"/>
  <c r="I35" i="20"/>
  <c r="F31" i="26"/>
  <c r="H31" i="26" s="1"/>
  <c r="B31" i="26"/>
  <c r="F32" i="21"/>
  <c r="D33" i="21" s="1"/>
  <c r="B32" i="21"/>
  <c r="J112" i="26"/>
  <c r="J115" i="18"/>
  <c r="F29" i="29"/>
  <c r="H36" i="20"/>
  <c r="E37" i="20"/>
  <c r="F37" i="20" s="1"/>
  <c r="G36" i="20"/>
  <c r="B37" i="20"/>
  <c r="J108" i="37"/>
  <c r="D118" i="4"/>
  <c r="G117" i="4"/>
  <c r="E118" i="4"/>
  <c r="J113" i="28"/>
  <c r="D117" i="18"/>
  <c r="G116" i="18"/>
  <c r="E117" i="18"/>
  <c r="J109" i="31"/>
  <c r="F113" i="25"/>
  <c r="H113" i="25" s="1"/>
  <c r="B113" i="25"/>
  <c r="J109" i="38"/>
  <c r="I112" i="25"/>
  <c r="D111" i="35"/>
  <c r="G110" i="35"/>
  <c r="E111" i="35"/>
  <c r="J109" i="35"/>
  <c r="G110" i="31"/>
  <c r="E111" i="31"/>
  <c r="D111" i="31"/>
  <c r="G113" i="26"/>
  <c r="E114" i="26"/>
  <c r="D114" i="26"/>
  <c r="J113" i="21"/>
  <c r="D110" i="37"/>
  <c r="G109" i="37"/>
  <c r="E110" i="37"/>
  <c r="J109" i="34"/>
  <c r="J117" i="23"/>
  <c r="G114" i="21"/>
  <c r="D115" i="21"/>
  <c r="E115" i="21"/>
  <c r="J113" i="27"/>
  <c r="J113" i="24"/>
  <c r="D115" i="24"/>
  <c r="G114" i="24"/>
  <c r="E115" i="24"/>
  <c r="D115" i="27"/>
  <c r="G114" i="27"/>
  <c r="E115" i="27"/>
  <c r="I116" i="19"/>
  <c r="B117" i="19"/>
  <c r="F117" i="19"/>
  <c r="H117" i="19" s="1"/>
  <c r="D111" i="38"/>
  <c r="G110" i="38"/>
  <c r="G110" i="34"/>
  <c r="D111" i="34"/>
  <c r="E111" i="34"/>
  <c r="I113" i="22"/>
  <c r="I117" i="3"/>
  <c r="B114" i="22"/>
  <c r="F114" i="22"/>
  <c r="H114" i="22" s="1"/>
  <c r="B111" i="20"/>
  <c r="F111" i="20"/>
  <c r="I110" i="20"/>
  <c r="H110" i="20"/>
  <c r="F118" i="3"/>
  <c r="H118" i="3" s="1"/>
  <c r="B118" i="3"/>
  <c r="E119" i="23" l="1"/>
  <c r="F119" i="23" s="1"/>
  <c r="H119" i="23" s="1"/>
  <c r="G118" i="23"/>
  <c r="H42" i="28"/>
  <c r="G42" i="28"/>
  <c r="E43" i="28"/>
  <c r="F43" i="28" s="1"/>
  <c r="H118" i="23"/>
  <c r="F115" i="29"/>
  <c r="G115" i="29" s="1"/>
  <c r="I115" i="29" s="1"/>
  <c r="B27" i="39"/>
  <c r="F27" i="39"/>
  <c r="G27" i="39" s="1"/>
  <c r="E111" i="38"/>
  <c r="F111" i="38" s="1"/>
  <c r="H111" i="38" s="1"/>
  <c r="G110" i="39"/>
  <c r="D111" i="39"/>
  <c r="E111" i="39"/>
  <c r="J109" i="39"/>
  <c r="I118" i="23"/>
  <c r="J118" i="23" s="1"/>
  <c r="F33" i="24"/>
  <c r="H33" i="24" s="1"/>
  <c r="B33" i="24"/>
  <c r="G32" i="27"/>
  <c r="I32" i="27" s="1"/>
  <c r="J112" i="25"/>
  <c r="I110" i="13"/>
  <c r="H110" i="13"/>
  <c r="E111" i="13"/>
  <c r="F111" i="13" s="1"/>
  <c r="B111" i="13"/>
  <c r="G31" i="26"/>
  <c r="I31" i="26" s="1"/>
  <c r="G28" i="31"/>
  <c r="I28" i="31" s="1"/>
  <c r="G32" i="23"/>
  <c r="I32" i="23" s="1"/>
  <c r="D31" i="13"/>
  <c r="E31" i="13" s="1"/>
  <c r="D28" i="37"/>
  <c r="E28" i="37"/>
  <c r="D32" i="26"/>
  <c r="E32" i="26"/>
  <c r="D27" i="38"/>
  <c r="E27" i="38"/>
  <c r="D32" i="22"/>
  <c r="E33" i="22"/>
  <c r="E32" i="22"/>
  <c r="B38" i="20"/>
  <c r="G37" i="20"/>
  <c r="E38" i="20"/>
  <c r="F38" i="20" s="1"/>
  <c r="H37" i="20"/>
  <c r="D33" i="23"/>
  <c r="E33" i="23"/>
  <c r="I36" i="20"/>
  <c r="H32" i="21"/>
  <c r="F37" i="3"/>
  <c r="G37" i="3" s="1"/>
  <c r="B37" i="3"/>
  <c r="H26" i="38"/>
  <c r="I26" i="38" s="1"/>
  <c r="H30" i="25"/>
  <c r="I30" i="25" s="1"/>
  <c r="G32" i="21"/>
  <c r="D29" i="35"/>
  <c r="E29" i="35"/>
  <c r="G28" i="34"/>
  <c r="I28" i="34" s="1"/>
  <c r="D30" i="29"/>
  <c r="E30" i="29"/>
  <c r="B33" i="21"/>
  <c r="F33" i="21"/>
  <c r="G33" i="21" s="1"/>
  <c r="B35" i="19"/>
  <c r="F35" i="19"/>
  <c r="G35" i="19" s="1"/>
  <c r="B36" i="4"/>
  <c r="F36" i="4"/>
  <c r="G36" i="4" s="1"/>
  <c r="H28" i="35"/>
  <c r="I28" i="35" s="1"/>
  <c r="B35" i="18"/>
  <c r="F35" i="18"/>
  <c r="G35" i="18" s="1"/>
  <c r="I32" i="28"/>
  <c r="G29" i="29"/>
  <c r="H30" i="13"/>
  <c r="I30" i="13" s="1"/>
  <c r="G27" i="37"/>
  <c r="D29" i="34"/>
  <c r="E29" i="34"/>
  <c r="G31" i="22"/>
  <c r="D31" i="25"/>
  <c r="E31" i="25"/>
  <c r="H29" i="29"/>
  <c r="H27" i="37"/>
  <c r="D33" i="27"/>
  <c r="E33" i="27"/>
  <c r="H31" i="22"/>
  <c r="D29" i="31"/>
  <c r="E29" i="31"/>
  <c r="B117" i="18"/>
  <c r="F117" i="18"/>
  <c r="H117" i="18" s="1"/>
  <c r="I116" i="18"/>
  <c r="I117" i="4"/>
  <c r="B118" i="4"/>
  <c r="F118" i="4"/>
  <c r="H118" i="4" s="1"/>
  <c r="J116" i="19"/>
  <c r="I110" i="35"/>
  <c r="F111" i="35"/>
  <c r="H111" i="35" s="1"/>
  <c r="B111" i="35"/>
  <c r="I109" i="37"/>
  <c r="B115" i="28"/>
  <c r="F110" i="37"/>
  <c r="H110" i="37" s="1"/>
  <c r="B110" i="37"/>
  <c r="F111" i="31"/>
  <c r="H111" i="31" s="1"/>
  <c r="B111" i="31"/>
  <c r="F114" i="26"/>
  <c r="H114" i="26" s="1"/>
  <c r="B114" i="26"/>
  <c r="I110" i="31"/>
  <c r="G113" i="25"/>
  <c r="E114" i="25"/>
  <c r="D114" i="25"/>
  <c r="J117" i="3"/>
  <c r="I113" i="26"/>
  <c r="I110" i="34"/>
  <c r="I114" i="24"/>
  <c r="I110" i="38"/>
  <c r="I114" i="27"/>
  <c r="B115" i="24"/>
  <c r="F115" i="24"/>
  <c r="H115" i="24" s="1"/>
  <c r="B111" i="38"/>
  <c r="F115" i="27"/>
  <c r="H115" i="27" s="1"/>
  <c r="B115" i="27"/>
  <c r="F115" i="21"/>
  <c r="H115" i="21" s="1"/>
  <c r="B115" i="21"/>
  <c r="J113" i="22"/>
  <c r="I114" i="21"/>
  <c r="G117" i="19"/>
  <c r="D118" i="19"/>
  <c r="E118" i="19"/>
  <c r="B111" i="34"/>
  <c r="F111" i="34"/>
  <c r="H111" i="34" s="1"/>
  <c r="G111" i="20"/>
  <c r="D112" i="20"/>
  <c r="E119" i="3"/>
  <c r="G118" i="3"/>
  <c r="D119" i="3"/>
  <c r="D115" i="22"/>
  <c r="E115" i="22"/>
  <c r="G114" i="22"/>
  <c r="J110" i="20"/>
  <c r="G119" i="23"/>
  <c r="D120" i="23"/>
  <c r="H115" i="29" l="1"/>
  <c r="D116" i="29"/>
  <c r="E116" i="29"/>
  <c r="H43" i="28"/>
  <c r="G43" i="28"/>
  <c r="E44" i="28"/>
  <c r="F44" i="28" s="1"/>
  <c r="H27" i="39"/>
  <c r="I27" i="39" s="1"/>
  <c r="D28" i="39"/>
  <c r="E28" i="39"/>
  <c r="E120" i="23"/>
  <c r="F120" i="23" s="1"/>
  <c r="H120" i="23" s="1"/>
  <c r="F116" i="29"/>
  <c r="H116" i="29" s="1"/>
  <c r="B111" i="39"/>
  <c r="F111" i="39"/>
  <c r="H111" i="39" s="1"/>
  <c r="I110" i="39"/>
  <c r="J110" i="39" s="1"/>
  <c r="I29" i="29"/>
  <c r="G33" i="24"/>
  <c r="I33" i="24" s="1"/>
  <c r="D34" i="24"/>
  <c r="E34" i="24"/>
  <c r="D112" i="13"/>
  <c r="G111" i="13"/>
  <c r="J110" i="13"/>
  <c r="I37" i="20"/>
  <c r="J117" i="4"/>
  <c r="I31" i="22"/>
  <c r="I32" i="21"/>
  <c r="B29" i="31"/>
  <c r="F29" i="31"/>
  <c r="G29" i="31" s="1"/>
  <c r="F27" i="38"/>
  <c r="H27" i="38" s="1"/>
  <c r="B27" i="38"/>
  <c r="D36" i="18"/>
  <c r="E36" i="18"/>
  <c r="D36" i="19"/>
  <c r="E36" i="19"/>
  <c r="F30" i="29"/>
  <c r="H30" i="29" s="1"/>
  <c r="B33" i="28"/>
  <c r="G38" i="20"/>
  <c r="B39" i="20"/>
  <c r="E39" i="20"/>
  <c r="F39" i="20" s="1"/>
  <c r="H38" i="20"/>
  <c r="B29" i="34"/>
  <c r="F29" i="34"/>
  <c r="H29" i="34" s="1"/>
  <c r="H35" i="19"/>
  <c r="I35" i="19" s="1"/>
  <c r="B32" i="26"/>
  <c r="F32" i="26"/>
  <c r="G32" i="26" s="1"/>
  <c r="B33" i="27"/>
  <c r="F33" i="27"/>
  <c r="H33" i="27" s="1"/>
  <c r="F33" i="23"/>
  <c r="H33" i="23" s="1"/>
  <c r="B33" i="23"/>
  <c r="J110" i="31"/>
  <c r="I27" i="37"/>
  <c r="H36" i="4"/>
  <c r="I36" i="4" s="1"/>
  <c r="H33" i="21"/>
  <c r="I33" i="21" s="1"/>
  <c r="D38" i="3"/>
  <c r="E38" i="3"/>
  <c r="B28" i="37"/>
  <c r="F28" i="37"/>
  <c r="G28" i="37" s="1"/>
  <c r="J113" i="26"/>
  <c r="J109" i="37"/>
  <c r="H37" i="3"/>
  <c r="I37" i="3" s="1"/>
  <c r="D37" i="4"/>
  <c r="E37" i="4"/>
  <c r="D34" i="21"/>
  <c r="E34" i="21"/>
  <c r="B29" i="35"/>
  <c r="F29" i="35"/>
  <c r="G29" i="35" s="1"/>
  <c r="B32" i="22"/>
  <c r="F32" i="22"/>
  <c r="D33" i="22" s="1"/>
  <c r="F31" i="13"/>
  <c r="G31" i="13" s="1"/>
  <c r="B31" i="13"/>
  <c r="F31" i="25"/>
  <c r="G31" i="25" s="1"/>
  <c r="B31" i="25"/>
  <c r="H35" i="18"/>
  <c r="I35" i="18" s="1"/>
  <c r="J116" i="18"/>
  <c r="E118" i="18"/>
  <c r="D118" i="18"/>
  <c r="G117" i="18"/>
  <c r="D119" i="4"/>
  <c r="E119" i="4"/>
  <c r="G118" i="4"/>
  <c r="G114" i="26"/>
  <c r="D115" i="26"/>
  <c r="E115" i="26"/>
  <c r="F114" i="25"/>
  <c r="H114" i="25" s="1"/>
  <c r="B114" i="25"/>
  <c r="E112" i="31"/>
  <c r="G111" i="31"/>
  <c r="D112" i="31"/>
  <c r="D112" i="35"/>
  <c r="E112" i="35"/>
  <c r="G111" i="35"/>
  <c r="I113" i="25"/>
  <c r="E111" i="37"/>
  <c r="G110" i="37"/>
  <c r="D111" i="37"/>
  <c r="J114" i="28"/>
  <c r="J110" i="38"/>
  <c r="J110" i="35"/>
  <c r="J114" i="27"/>
  <c r="D112" i="34"/>
  <c r="G111" i="34"/>
  <c r="E112" i="34"/>
  <c r="J114" i="21"/>
  <c r="G115" i="21"/>
  <c r="D116" i="21"/>
  <c r="E116" i="21"/>
  <c r="G115" i="27"/>
  <c r="D116" i="27"/>
  <c r="E116" i="27"/>
  <c r="G115" i="24"/>
  <c r="D116" i="24"/>
  <c r="E116" i="24"/>
  <c r="B118" i="19"/>
  <c r="F118" i="19"/>
  <c r="H118" i="19" s="1"/>
  <c r="I117" i="19"/>
  <c r="J115" i="29"/>
  <c r="D112" i="38"/>
  <c r="G111" i="38"/>
  <c r="J114" i="24"/>
  <c r="J110" i="34"/>
  <c r="I118" i="3"/>
  <c r="B119" i="3"/>
  <c r="F119" i="3"/>
  <c r="H119" i="3" s="1"/>
  <c r="B112" i="20"/>
  <c r="I111" i="20"/>
  <c r="H111" i="20"/>
  <c r="F115" i="22"/>
  <c r="H115" i="22" s="1"/>
  <c r="B115" i="22"/>
  <c r="I119" i="23"/>
  <c r="I114" i="22"/>
  <c r="E112" i="20"/>
  <c r="F112" i="20" s="1"/>
  <c r="H44" i="28" l="1"/>
  <c r="G44" i="28"/>
  <c r="E45" i="28"/>
  <c r="F45" i="28" s="1"/>
  <c r="E117" i="29"/>
  <c r="G116" i="29"/>
  <c r="I116" i="29" s="1"/>
  <c r="D117" i="29"/>
  <c r="F28" i="39"/>
  <c r="H28" i="39" s="1"/>
  <c r="B28" i="39"/>
  <c r="D112" i="39"/>
  <c r="G111" i="39"/>
  <c r="E112" i="39"/>
  <c r="B34" i="24"/>
  <c r="F34" i="24"/>
  <c r="H34" i="24" s="1"/>
  <c r="H28" i="37"/>
  <c r="I28" i="37" s="1"/>
  <c r="H111" i="13"/>
  <c r="I111" i="13"/>
  <c r="E112" i="13"/>
  <c r="F112" i="13" s="1"/>
  <c r="B112" i="13"/>
  <c r="H31" i="25"/>
  <c r="I31" i="25" s="1"/>
  <c r="G32" i="22"/>
  <c r="H32" i="22"/>
  <c r="G27" i="38"/>
  <c r="I27" i="38" s="1"/>
  <c r="G33" i="23"/>
  <c r="I33" i="23" s="1"/>
  <c r="I38" i="20"/>
  <c r="H29" i="35"/>
  <c r="I29" i="35" s="1"/>
  <c r="I33" i="28"/>
  <c r="J119" i="23"/>
  <c r="F34" i="21"/>
  <c r="H34" i="21" s="1"/>
  <c r="B34" i="21"/>
  <c r="D33" i="26"/>
  <c r="E33" i="26"/>
  <c r="G29" i="34"/>
  <c r="I29" i="34" s="1"/>
  <c r="D32" i="25"/>
  <c r="E32" i="25"/>
  <c r="F37" i="4"/>
  <c r="H37" i="4" s="1"/>
  <c r="B37" i="4"/>
  <c r="E40" i="20"/>
  <c r="F40" i="20" s="1"/>
  <c r="B40" i="20"/>
  <c r="G39" i="20"/>
  <c r="H39" i="20"/>
  <c r="D31" i="29"/>
  <c r="E31" i="29"/>
  <c r="H31" i="13"/>
  <c r="I31" i="13" s="1"/>
  <c r="B38" i="3"/>
  <c r="F38" i="3"/>
  <c r="H38" i="3" s="1"/>
  <c r="D34" i="23"/>
  <c r="E34" i="23"/>
  <c r="H32" i="26"/>
  <c r="I32" i="26" s="1"/>
  <c r="G30" i="29"/>
  <c r="I30" i="29" s="1"/>
  <c r="D28" i="38"/>
  <c r="E28" i="38"/>
  <c r="G33" i="27"/>
  <c r="I33" i="27" s="1"/>
  <c r="H29" i="31"/>
  <c r="I29" i="31" s="1"/>
  <c r="D30" i="35"/>
  <c r="E30" i="35"/>
  <c r="B36" i="19"/>
  <c r="F36" i="19"/>
  <c r="G36" i="19" s="1"/>
  <c r="D32" i="13"/>
  <c r="E32" i="13" s="1"/>
  <c r="D34" i="27"/>
  <c r="E34" i="27"/>
  <c r="D30" i="34"/>
  <c r="E30" i="34"/>
  <c r="D30" i="31"/>
  <c r="E30" i="31"/>
  <c r="B33" i="22"/>
  <c r="F33" i="22"/>
  <c r="G33" i="22" s="1"/>
  <c r="D29" i="37"/>
  <c r="E29" i="37"/>
  <c r="B36" i="18"/>
  <c r="F36" i="18"/>
  <c r="H36" i="18" s="1"/>
  <c r="I118" i="4"/>
  <c r="I117" i="18"/>
  <c r="B119" i="4"/>
  <c r="F119" i="4"/>
  <c r="H119" i="4" s="1"/>
  <c r="B118" i="18"/>
  <c r="F118" i="18"/>
  <c r="H118" i="18" s="1"/>
  <c r="B111" i="37"/>
  <c r="F111" i="37"/>
  <c r="H111" i="37" s="1"/>
  <c r="B112" i="31"/>
  <c r="F112" i="31"/>
  <c r="H112" i="31" s="1"/>
  <c r="I110" i="37"/>
  <c r="I111" i="31"/>
  <c r="B116" i="28"/>
  <c r="J113" i="25"/>
  <c r="G114" i="25"/>
  <c r="D115" i="25"/>
  <c r="E115" i="25"/>
  <c r="I111" i="35"/>
  <c r="B115" i="26"/>
  <c r="F115" i="26"/>
  <c r="H115" i="26" s="1"/>
  <c r="J114" i="22"/>
  <c r="B112" i="35"/>
  <c r="F112" i="35"/>
  <c r="H112" i="35" s="1"/>
  <c r="I114" i="26"/>
  <c r="J118" i="3"/>
  <c r="J117" i="19"/>
  <c r="B112" i="38"/>
  <c r="B116" i="24"/>
  <c r="F116" i="24"/>
  <c r="H116" i="24" s="1"/>
  <c r="F116" i="21"/>
  <c r="H116" i="21" s="1"/>
  <c r="B116" i="21"/>
  <c r="I115" i="24"/>
  <c r="I115" i="21"/>
  <c r="I111" i="38"/>
  <c r="J111" i="20"/>
  <c r="E119" i="19"/>
  <c r="D119" i="19"/>
  <c r="G118" i="19"/>
  <c r="I115" i="27"/>
  <c r="I111" i="34"/>
  <c r="E112" i="38"/>
  <c r="F112" i="38" s="1"/>
  <c r="H112" i="38" s="1"/>
  <c r="F116" i="27"/>
  <c r="H116" i="27" s="1"/>
  <c r="B116" i="27"/>
  <c r="F112" i="34"/>
  <c r="H112" i="34" s="1"/>
  <c r="B112" i="34"/>
  <c r="D113" i="20"/>
  <c r="E113" i="20" s="1"/>
  <c r="G112" i="20"/>
  <c r="G119" i="3"/>
  <c r="D120" i="3"/>
  <c r="E120" i="3"/>
  <c r="G120" i="23"/>
  <c r="D121" i="23"/>
  <c r="D116" i="22"/>
  <c r="G115" i="22"/>
  <c r="E116" i="22"/>
  <c r="F117" i="29" l="1"/>
  <c r="D118" i="29" s="1"/>
  <c r="H45" i="28"/>
  <c r="G45" i="28"/>
  <c r="E46" i="28"/>
  <c r="F46" i="28" s="1"/>
  <c r="G28" i="39"/>
  <c r="I28" i="39" s="1"/>
  <c r="D29" i="39"/>
  <c r="E29" i="39"/>
  <c r="E121" i="23"/>
  <c r="F121" i="23" s="1"/>
  <c r="H121" i="23" s="1"/>
  <c r="E118" i="29"/>
  <c r="H117" i="29"/>
  <c r="I111" i="39"/>
  <c r="J111" i="39" s="1"/>
  <c r="F112" i="39"/>
  <c r="H112" i="39" s="1"/>
  <c r="B112" i="39"/>
  <c r="G34" i="24"/>
  <c r="I34" i="24" s="1"/>
  <c r="D35" i="24"/>
  <c r="E35" i="24"/>
  <c r="J114" i="26"/>
  <c r="I32" i="22"/>
  <c r="G34" i="21"/>
  <c r="I34" i="21" s="1"/>
  <c r="J111" i="13"/>
  <c r="J111" i="38"/>
  <c r="D113" i="13"/>
  <c r="B113" i="13" s="1"/>
  <c r="G112" i="13"/>
  <c r="H36" i="19"/>
  <c r="I36" i="19" s="1"/>
  <c r="G36" i="18"/>
  <c r="I36" i="18" s="1"/>
  <c r="I39" i="20"/>
  <c r="B30" i="31"/>
  <c r="F30" i="31"/>
  <c r="H30" i="31" s="1"/>
  <c r="F31" i="29"/>
  <c r="D38" i="4"/>
  <c r="E38" i="4"/>
  <c r="B29" i="37"/>
  <c r="F29" i="37"/>
  <c r="G29" i="37" s="1"/>
  <c r="B30" i="34"/>
  <c r="F30" i="34"/>
  <c r="H30" i="34" s="1"/>
  <c r="B34" i="23"/>
  <c r="F34" i="23"/>
  <c r="G34" i="23" s="1"/>
  <c r="J111" i="35"/>
  <c r="D34" i="22"/>
  <c r="E34" i="22"/>
  <c r="B34" i="27"/>
  <c r="F34" i="27"/>
  <c r="H34" i="27" s="1"/>
  <c r="B34" i="28"/>
  <c r="D39" i="3"/>
  <c r="E39" i="3"/>
  <c r="B32" i="25"/>
  <c r="F32" i="25"/>
  <c r="H32" i="25" s="1"/>
  <c r="D35" i="21"/>
  <c r="E35" i="21"/>
  <c r="J115" i="28"/>
  <c r="J111" i="31"/>
  <c r="D37" i="18"/>
  <c r="E37" i="18"/>
  <c r="H33" i="22"/>
  <c r="I33" i="22" s="1"/>
  <c r="H40" i="20"/>
  <c r="B41" i="20"/>
  <c r="E41" i="20"/>
  <c r="F41" i="20" s="1"/>
  <c r="G40" i="20"/>
  <c r="F32" i="13"/>
  <c r="H32" i="13" s="1"/>
  <c r="B32" i="13"/>
  <c r="B30" i="35"/>
  <c r="F30" i="35"/>
  <c r="H30" i="35" s="1"/>
  <c r="B28" i="38"/>
  <c r="F28" i="38"/>
  <c r="H28" i="38" s="1"/>
  <c r="G38" i="3"/>
  <c r="I38" i="3" s="1"/>
  <c r="G37" i="4"/>
  <c r="I37" i="4" s="1"/>
  <c r="D37" i="19"/>
  <c r="E37" i="19"/>
  <c r="B33" i="26"/>
  <c r="F33" i="26"/>
  <c r="G33" i="26" s="1"/>
  <c r="G119" i="4"/>
  <c r="E120" i="4"/>
  <c r="D120" i="4"/>
  <c r="J117" i="18"/>
  <c r="G118" i="18"/>
  <c r="D119" i="18"/>
  <c r="E119" i="18"/>
  <c r="J115" i="21"/>
  <c r="J118" i="4"/>
  <c r="D113" i="35"/>
  <c r="E113" i="35"/>
  <c r="G112" i="35"/>
  <c r="J115" i="24"/>
  <c r="B115" i="25"/>
  <c r="F115" i="25"/>
  <c r="H115" i="25" s="1"/>
  <c r="J110" i="37"/>
  <c r="E116" i="26"/>
  <c r="G115" i="26"/>
  <c r="D116" i="26"/>
  <c r="I114" i="25"/>
  <c r="D113" i="31"/>
  <c r="E113" i="31"/>
  <c r="G112" i="31"/>
  <c r="G117" i="29"/>
  <c r="D112" i="37"/>
  <c r="G111" i="37"/>
  <c r="E112" i="37"/>
  <c r="J115" i="27"/>
  <c r="D113" i="38"/>
  <c r="G112" i="38"/>
  <c r="G116" i="21"/>
  <c r="D117" i="21"/>
  <c r="E117" i="21"/>
  <c r="G116" i="27"/>
  <c r="D117" i="27"/>
  <c r="E117" i="27"/>
  <c r="I118" i="19"/>
  <c r="G116" i="24"/>
  <c r="D117" i="24"/>
  <c r="E117" i="24"/>
  <c r="F119" i="19"/>
  <c r="H119" i="19" s="1"/>
  <c r="B119" i="19"/>
  <c r="F118" i="29"/>
  <c r="H118" i="29" s="1"/>
  <c r="J116" i="29"/>
  <c r="J111" i="34"/>
  <c r="D113" i="34"/>
  <c r="G112" i="34"/>
  <c r="E113" i="34"/>
  <c r="I115" i="22"/>
  <c r="I119" i="3"/>
  <c r="F120" i="3"/>
  <c r="H120" i="3" s="1"/>
  <c r="B120" i="3"/>
  <c r="B116" i="22"/>
  <c r="F116" i="22"/>
  <c r="H116" i="22" s="1"/>
  <c r="I120" i="23"/>
  <c r="H112" i="20"/>
  <c r="I112" i="20"/>
  <c r="B113" i="20"/>
  <c r="F113" i="20"/>
  <c r="H46" i="28" l="1"/>
  <c r="G46" i="28"/>
  <c r="E47" i="28"/>
  <c r="F47" i="28" s="1"/>
  <c r="F29" i="39"/>
  <c r="G29" i="39" s="1"/>
  <c r="B29" i="39"/>
  <c r="E113" i="38"/>
  <c r="F113" i="38" s="1"/>
  <c r="H113" i="38" s="1"/>
  <c r="D113" i="39"/>
  <c r="G112" i="39"/>
  <c r="E113" i="39"/>
  <c r="B35" i="24"/>
  <c r="F35" i="24"/>
  <c r="G35" i="24" s="1"/>
  <c r="I117" i="29"/>
  <c r="J117" i="29" s="1"/>
  <c r="E113" i="13"/>
  <c r="F113" i="13" s="1"/>
  <c r="H112" i="13"/>
  <c r="I112" i="13"/>
  <c r="H34" i="23"/>
  <c r="I34" i="23" s="1"/>
  <c r="I34" i="28"/>
  <c r="G30" i="34"/>
  <c r="I30" i="34" s="1"/>
  <c r="G34" i="27"/>
  <c r="I34" i="27" s="1"/>
  <c r="D34" i="26"/>
  <c r="E34" i="26"/>
  <c r="D29" i="38"/>
  <c r="E29" i="38"/>
  <c r="D33" i="13"/>
  <c r="B37" i="18"/>
  <c r="F37" i="18"/>
  <c r="D30" i="37"/>
  <c r="E30" i="37"/>
  <c r="G32" i="13"/>
  <c r="I32" i="13" s="1"/>
  <c r="D35" i="27"/>
  <c r="E35" i="27"/>
  <c r="J115" i="22"/>
  <c r="B39" i="3"/>
  <c r="F39" i="3"/>
  <c r="H39" i="3" s="1"/>
  <c r="D31" i="31"/>
  <c r="E31" i="31"/>
  <c r="F37" i="19"/>
  <c r="H37" i="19" s="1"/>
  <c r="B37" i="19"/>
  <c r="D31" i="35"/>
  <c r="E31" i="35"/>
  <c r="E42" i="20"/>
  <c r="F42" i="20" s="1"/>
  <c r="H41" i="20"/>
  <c r="B42" i="20"/>
  <c r="G41" i="20"/>
  <c r="F38" i="4"/>
  <c r="G38" i="4" s="1"/>
  <c r="B38" i="4"/>
  <c r="G30" i="31"/>
  <c r="I30" i="31" s="1"/>
  <c r="G30" i="35"/>
  <c r="I30" i="35" s="1"/>
  <c r="B35" i="21"/>
  <c r="F35" i="21"/>
  <c r="G35" i="21" s="1"/>
  <c r="B34" i="22"/>
  <c r="F34" i="22"/>
  <c r="H34" i="22" s="1"/>
  <c r="D31" i="34"/>
  <c r="E31" i="34"/>
  <c r="D32" i="29"/>
  <c r="E32" i="29"/>
  <c r="I40" i="20"/>
  <c r="D33" i="25"/>
  <c r="E33" i="25"/>
  <c r="G31" i="29"/>
  <c r="H33" i="26"/>
  <c r="I33" i="26" s="1"/>
  <c r="G28" i="38"/>
  <c r="I28" i="38" s="1"/>
  <c r="G32" i="25"/>
  <c r="I32" i="25" s="1"/>
  <c r="D35" i="23"/>
  <c r="E35" i="23"/>
  <c r="H29" i="37"/>
  <c r="I29" i="37" s="1"/>
  <c r="H31" i="29"/>
  <c r="I118" i="18"/>
  <c r="F120" i="4"/>
  <c r="H120" i="4" s="1"/>
  <c r="B120" i="4"/>
  <c r="B119" i="18"/>
  <c r="F119" i="18"/>
  <c r="H119" i="18" s="1"/>
  <c r="I119" i="4"/>
  <c r="I112" i="31"/>
  <c r="B117" i="28"/>
  <c r="G115" i="25"/>
  <c r="D116" i="25"/>
  <c r="E116" i="25"/>
  <c r="B113" i="31"/>
  <c r="F113" i="31"/>
  <c r="H113" i="31" s="1"/>
  <c r="J114" i="25"/>
  <c r="I112" i="35"/>
  <c r="I111" i="37"/>
  <c r="F116" i="26"/>
  <c r="H116" i="26" s="1"/>
  <c r="B116" i="26"/>
  <c r="F112" i="37"/>
  <c r="H112" i="37" s="1"/>
  <c r="B112" i="37"/>
  <c r="I115" i="26"/>
  <c r="B113" i="35"/>
  <c r="F113" i="35"/>
  <c r="H113" i="35" s="1"/>
  <c r="J120" i="23"/>
  <c r="I112" i="34"/>
  <c r="I112" i="38"/>
  <c r="D119" i="29"/>
  <c r="G118" i="29"/>
  <c r="B117" i="24"/>
  <c r="F117" i="24"/>
  <c r="H117" i="24" s="1"/>
  <c r="B117" i="27"/>
  <c r="F117" i="27"/>
  <c r="H117" i="27" s="1"/>
  <c r="I116" i="24"/>
  <c r="I116" i="27"/>
  <c r="B113" i="38"/>
  <c r="B113" i="34"/>
  <c r="F113" i="34"/>
  <c r="H113" i="34" s="1"/>
  <c r="J119" i="3"/>
  <c r="F117" i="21"/>
  <c r="H117" i="21" s="1"/>
  <c r="B117" i="21"/>
  <c r="D120" i="19"/>
  <c r="G119" i="19"/>
  <c r="E120" i="19"/>
  <c r="J118" i="19"/>
  <c r="I116" i="21"/>
  <c r="G120" i="3"/>
  <c r="D121" i="3"/>
  <c r="E121" i="3"/>
  <c r="D122" i="23"/>
  <c r="G121" i="23"/>
  <c r="D114" i="20"/>
  <c r="E114" i="20" s="1"/>
  <c r="G113" i="20"/>
  <c r="G116" i="22"/>
  <c r="E117" i="22"/>
  <c r="D117" i="22"/>
  <c r="J112" i="20"/>
  <c r="H29" i="39" l="1"/>
  <c r="I29" i="39" s="1"/>
  <c r="H47" i="28"/>
  <c r="G47" i="28"/>
  <c r="E48" i="28"/>
  <c r="F48" i="28" s="1"/>
  <c r="D30" i="39"/>
  <c r="E30" i="39"/>
  <c r="E122" i="23"/>
  <c r="F122" i="23" s="1"/>
  <c r="H122" i="23" s="1"/>
  <c r="E119" i="29"/>
  <c r="F119" i="29" s="1"/>
  <c r="H119" i="29" s="1"/>
  <c r="I112" i="39"/>
  <c r="F113" i="39"/>
  <c r="H113" i="39" s="1"/>
  <c r="B113" i="39"/>
  <c r="G37" i="19"/>
  <c r="I37" i="19" s="1"/>
  <c r="H35" i="24"/>
  <c r="I35" i="24" s="1"/>
  <c r="D36" i="24"/>
  <c r="E36" i="24"/>
  <c r="J112" i="13"/>
  <c r="J119" i="4"/>
  <c r="D114" i="13"/>
  <c r="G113" i="13"/>
  <c r="I31" i="29"/>
  <c r="I41" i="20"/>
  <c r="H38" i="4"/>
  <c r="I38" i="4" s="1"/>
  <c r="B33" i="13"/>
  <c r="F35" i="23"/>
  <c r="B35" i="23"/>
  <c r="D35" i="22"/>
  <c r="E35" i="22"/>
  <c r="B33" i="25"/>
  <c r="F33" i="25"/>
  <c r="H33" i="25" s="1"/>
  <c r="G42" i="20"/>
  <c r="E43" i="20"/>
  <c r="F43" i="20" s="1"/>
  <c r="B43" i="20"/>
  <c r="H42" i="20"/>
  <c r="F31" i="31"/>
  <c r="H31" i="31" s="1"/>
  <c r="B31" i="31"/>
  <c r="F30" i="37"/>
  <c r="G30" i="37" s="1"/>
  <c r="B30" i="37"/>
  <c r="B29" i="38"/>
  <c r="F29" i="38"/>
  <c r="B35" i="28"/>
  <c r="G34" i="22"/>
  <c r="I34" i="22" s="1"/>
  <c r="F35" i="27"/>
  <c r="H35" i="27" s="1"/>
  <c r="B35" i="27"/>
  <c r="D38" i="18"/>
  <c r="E38" i="18"/>
  <c r="H35" i="21"/>
  <c r="I35" i="21" s="1"/>
  <c r="B31" i="35"/>
  <c r="F31" i="35"/>
  <c r="G31" i="35" s="1"/>
  <c r="D40" i="3"/>
  <c r="E40" i="3"/>
  <c r="H37" i="18"/>
  <c r="J118" i="18"/>
  <c r="F32" i="29"/>
  <c r="D39" i="4"/>
  <c r="E39" i="4"/>
  <c r="G39" i="3"/>
  <c r="I39" i="3" s="1"/>
  <c r="G37" i="18"/>
  <c r="F34" i="26"/>
  <c r="G34" i="26" s="1"/>
  <c r="B34" i="26"/>
  <c r="D36" i="21"/>
  <c r="E36" i="21"/>
  <c r="F31" i="34"/>
  <c r="G31" i="34" s="1"/>
  <c r="B31" i="34"/>
  <c r="D38" i="19"/>
  <c r="E38" i="19"/>
  <c r="E33" i="13"/>
  <c r="F33" i="13" s="1"/>
  <c r="J111" i="37"/>
  <c r="G119" i="18"/>
  <c r="D120" i="18"/>
  <c r="E120" i="18"/>
  <c r="E121" i="4"/>
  <c r="G120" i="4"/>
  <c r="D121" i="4"/>
  <c r="G113" i="35"/>
  <c r="D114" i="35"/>
  <c r="E114" i="35"/>
  <c r="B116" i="25"/>
  <c r="F116" i="25"/>
  <c r="H116" i="25" s="1"/>
  <c r="J116" i="24"/>
  <c r="J115" i="26"/>
  <c r="J112" i="35"/>
  <c r="I115" i="25"/>
  <c r="D113" i="37"/>
  <c r="E113" i="37"/>
  <c r="G112" i="37"/>
  <c r="G113" i="31"/>
  <c r="E114" i="31"/>
  <c r="D114" i="31"/>
  <c r="G116" i="26"/>
  <c r="D117" i="26"/>
  <c r="E117" i="26"/>
  <c r="J116" i="28"/>
  <c r="J112" i="31"/>
  <c r="I119" i="19"/>
  <c r="F120" i="19"/>
  <c r="H120" i="19" s="1"/>
  <c r="B120" i="19"/>
  <c r="J116" i="27"/>
  <c r="I118" i="29"/>
  <c r="J112" i="34"/>
  <c r="D118" i="24"/>
  <c r="G117" i="24"/>
  <c r="E118" i="24"/>
  <c r="G117" i="21"/>
  <c r="D118" i="21"/>
  <c r="E118" i="21"/>
  <c r="D114" i="38"/>
  <c r="G113" i="38"/>
  <c r="J116" i="21"/>
  <c r="J112" i="38"/>
  <c r="D114" i="34"/>
  <c r="G113" i="34"/>
  <c r="E114" i="34"/>
  <c r="D118" i="27"/>
  <c r="G117" i="27"/>
  <c r="E118" i="27"/>
  <c r="B121" i="3"/>
  <c r="F121" i="3"/>
  <c r="H121" i="3" s="1"/>
  <c r="I113" i="20"/>
  <c r="H113" i="20"/>
  <c r="I120" i="3"/>
  <c r="F117" i="22"/>
  <c r="H117" i="22" s="1"/>
  <c r="B117" i="22"/>
  <c r="B114" i="20"/>
  <c r="F114" i="20"/>
  <c r="I116" i="22"/>
  <c r="I121" i="23"/>
  <c r="H48" i="28" l="1"/>
  <c r="G48" i="28"/>
  <c r="E49" i="28"/>
  <c r="F49" i="28" s="1"/>
  <c r="F30" i="39"/>
  <c r="G30" i="39" s="1"/>
  <c r="B30" i="39"/>
  <c r="G113" i="39"/>
  <c r="D114" i="39"/>
  <c r="E114" i="39"/>
  <c r="J112" i="39"/>
  <c r="B36" i="24"/>
  <c r="F36" i="24"/>
  <c r="G36" i="24" s="1"/>
  <c r="H113" i="13"/>
  <c r="I113" i="13"/>
  <c r="J115" i="25"/>
  <c r="E114" i="13"/>
  <c r="F114" i="13" s="1"/>
  <c r="B114" i="13"/>
  <c r="H34" i="26"/>
  <c r="I34" i="26" s="1"/>
  <c r="H31" i="35"/>
  <c r="I31" i="35" s="1"/>
  <c r="D34" i="13"/>
  <c r="E34" i="13" s="1"/>
  <c r="H33" i="13"/>
  <c r="G33" i="13"/>
  <c r="D33" i="29"/>
  <c r="E33" i="29"/>
  <c r="D30" i="38"/>
  <c r="E30" i="38"/>
  <c r="E36" i="23"/>
  <c r="D36" i="23"/>
  <c r="D32" i="34"/>
  <c r="E32" i="34"/>
  <c r="H32" i="29"/>
  <c r="G29" i="38"/>
  <c r="D32" i="31"/>
  <c r="E32" i="31"/>
  <c r="D34" i="25"/>
  <c r="E34" i="25"/>
  <c r="H31" i="34"/>
  <c r="I31" i="34" s="1"/>
  <c r="I37" i="18"/>
  <c r="I42" i="20"/>
  <c r="F38" i="18"/>
  <c r="G38" i="18" s="1"/>
  <c r="B38" i="18"/>
  <c r="I35" i="28"/>
  <c r="H30" i="37"/>
  <c r="I30" i="37" s="1"/>
  <c r="B35" i="22"/>
  <c r="F35" i="22"/>
  <c r="G35" i="22" s="1"/>
  <c r="B36" i="21"/>
  <c r="F36" i="21"/>
  <c r="H36" i="21" s="1"/>
  <c r="B40" i="3"/>
  <c r="F40" i="3"/>
  <c r="H40" i="3" s="1"/>
  <c r="E44" i="20"/>
  <c r="F44" i="20" s="1"/>
  <c r="B44" i="20"/>
  <c r="H43" i="20"/>
  <c r="G43" i="20"/>
  <c r="H35" i="23"/>
  <c r="F39" i="4"/>
  <c r="H39" i="4" s="1"/>
  <c r="B39" i="4"/>
  <c r="D36" i="27"/>
  <c r="E36" i="27"/>
  <c r="D31" i="37"/>
  <c r="E31" i="37"/>
  <c r="F38" i="19"/>
  <c r="H38" i="19" s="1"/>
  <c r="B38" i="19"/>
  <c r="D35" i="26"/>
  <c r="E35" i="26"/>
  <c r="G32" i="29"/>
  <c r="D32" i="35"/>
  <c r="E32" i="35"/>
  <c r="G35" i="27"/>
  <c r="I35" i="27" s="1"/>
  <c r="H29" i="38"/>
  <c r="G31" i="31"/>
  <c r="I31" i="31" s="1"/>
  <c r="G33" i="25"/>
  <c r="I33" i="25" s="1"/>
  <c r="G35" i="23"/>
  <c r="F121" i="4"/>
  <c r="H121" i="4" s="1"/>
  <c r="B121" i="4"/>
  <c r="J120" i="3"/>
  <c r="F120" i="18"/>
  <c r="H120" i="18" s="1"/>
  <c r="B120" i="18"/>
  <c r="I119" i="18"/>
  <c r="I120" i="4"/>
  <c r="F113" i="37"/>
  <c r="H113" i="37" s="1"/>
  <c r="B113" i="37"/>
  <c r="B117" i="26"/>
  <c r="F117" i="26"/>
  <c r="H117" i="26" s="1"/>
  <c r="B118" i="28"/>
  <c r="D117" i="25"/>
  <c r="E117" i="25"/>
  <c r="G116" i="25"/>
  <c r="I116" i="26"/>
  <c r="B114" i="31"/>
  <c r="F114" i="31"/>
  <c r="H114" i="31" s="1"/>
  <c r="B114" i="35"/>
  <c r="F114" i="35"/>
  <c r="H114" i="35" s="1"/>
  <c r="I113" i="31"/>
  <c r="I113" i="35"/>
  <c r="I112" i="37"/>
  <c r="I113" i="34"/>
  <c r="F114" i="34"/>
  <c r="H114" i="34" s="1"/>
  <c r="B114" i="34"/>
  <c r="D120" i="29"/>
  <c r="G119" i="29"/>
  <c r="J118" i="29"/>
  <c r="D121" i="19"/>
  <c r="G120" i="19"/>
  <c r="B114" i="38"/>
  <c r="E114" i="38"/>
  <c r="F114" i="38" s="1"/>
  <c r="H114" i="38" s="1"/>
  <c r="B118" i="21"/>
  <c r="F118" i="21"/>
  <c r="H118" i="21" s="1"/>
  <c r="I117" i="21"/>
  <c r="I117" i="27"/>
  <c r="B118" i="24"/>
  <c r="F118" i="24"/>
  <c r="H118" i="24" s="1"/>
  <c r="J121" i="23"/>
  <c r="F118" i="27"/>
  <c r="H118" i="27" s="1"/>
  <c r="B118" i="27"/>
  <c r="I113" i="38"/>
  <c r="I117" i="24"/>
  <c r="J119" i="19"/>
  <c r="D115" i="20"/>
  <c r="G114" i="20"/>
  <c r="J113" i="20"/>
  <c r="E118" i="22"/>
  <c r="G117" i="22"/>
  <c r="D118" i="22"/>
  <c r="J116" i="22"/>
  <c r="D122" i="3"/>
  <c r="G121" i="3"/>
  <c r="G122" i="23"/>
  <c r="D123" i="23"/>
  <c r="H49" i="28" l="1"/>
  <c r="G49" i="28"/>
  <c r="E50" i="28"/>
  <c r="F50" i="28" s="1"/>
  <c r="H30" i="39"/>
  <c r="I30" i="39" s="1"/>
  <c r="E31" i="39"/>
  <c r="D31" i="39"/>
  <c r="E121" i="19"/>
  <c r="F121" i="19" s="1"/>
  <c r="H121" i="19" s="1"/>
  <c r="E120" i="29"/>
  <c r="F120" i="29" s="1"/>
  <c r="H120" i="29" s="1"/>
  <c r="F114" i="39"/>
  <c r="H114" i="39" s="1"/>
  <c r="B114" i="39"/>
  <c r="I113" i="39"/>
  <c r="J113" i="39" s="1"/>
  <c r="I29" i="38"/>
  <c r="H36" i="24"/>
  <c r="I36" i="24" s="1"/>
  <c r="D37" i="24"/>
  <c r="E37" i="24"/>
  <c r="J113" i="13"/>
  <c r="J117" i="27"/>
  <c r="D115" i="13"/>
  <c r="G114" i="13"/>
  <c r="G36" i="21"/>
  <c r="I36" i="21" s="1"/>
  <c r="G39" i="4"/>
  <c r="I39" i="4" s="1"/>
  <c r="H38" i="18"/>
  <c r="I38" i="18" s="1"/>
  <c r="G40" i="3"/>
  <c r="I40" i="3" s="1"/>
  <c r="F36" i="27"/>
  <c r="H36" i="27" s="1"/>
  <c r="B36" i="27"/>
  <c r="F33" i="29"/>
  <c r="G33" i="29" s="1"/>
  <c r="B45" i="20"/>
  <c r="H44" i="20"/>
  <c r="E45" i="20"/>
  <c r="F45" i="20" s="1"/>
  <c r="G44" i="20"/>
  <c r="F32" i="34"/>
  <c r="G32" i="34" s="1"/>
  <c r="B32" i="34"/>
  <c r="B35" i="26"/>
  <c r="F35" i="26"/>
  <c r="G35" i="26" s="1"/>
  <c r="B34" i="25"/>
  <c r="F34" i="25"/>
  <c r="H34" i="25" s="1"/>
  <c r="B36" i="23"/>
  <c r="F36" i="23"/>
  <c r="H36" i="23" s="1"/>
  <c r="J113" i="35"/>
  <c r="J119" i="18"/>
  <c r="G38" i="19"/>
  <c r="I38" i="19" s="1"/>
  <c r="D39" i="18"/>
  <c r="E39" i="18"/>
  <c r="F31" i="37"/>
  <c r="H31" i="37" s="1"/>
  <c r="B31" i="37"/>
  <c r="D40" i="4"/>
  <c r="E40" i="4"/>
  <c r="D41" i="3"/>
  <c r="E41" i="3"/>
  <c r="D36" i="22"/>
  <c r="E36" i="22"/>
  <c r="B32" i="31"/>
  <c r="F32" i="31"/>
  <c r="H32" i="31" s="1"/>
  <c r="I33" i="13"/>
  <c r="J113" i="38"/>
  <c r="J113" i="31"/>
  <c r="J116" i="26"/>
  <c r="I35" i="23"/>
  <c r="F30" i="38"/>
  <c r="H30" i="38" s="1"/>
  <c r="B30" i="38"/>
  <c r="B34" i="13"/>
  <c r="F34" i="13"/>
  <c r="H34" i="13" s="1"/>
  <c r="D39" i="19"/>
  <c r="E39" i="19"/>
  <c r="B36" i="28"/>
  <c r="H35" i="22"/>
  <c r="I35" i="22" s="1"/>
  <c r="I32" i="29"/>
  <c r="J113" i="34"/>
  <c r="F32" i="35"/>
  <c r="H32" i="35" s="1"/>
  <c r="B32" i="35"/>
  <c r="I43" i="20"/>
  <c r="D37" i="21"/>
  <c r="E37" i="21"/>
  <c r="J117" i="24"/>
  <c r="G120" i="18"/>
  <c r="D121" i="18"/>
  <c r="J120" i="4"/>
  <c r="G121" i="4"/>
  <c r="D122" i="4"/>
  <c r="D115" i="31"/>
  <c r="G114" i="31"/>
  <c r="E115" i="31"/>
  <c r="F117" i="25"/>
  <c r="H117" i="25" s="1"/>
  <c r="B117" i="25"/>
  <c r="J112" i="37"/>
  <c r="J117" i="28"/>
  <c r="D118" i="26"/>
  <c r="G117" i="26"/>
  <c r="E118" i="26"/>
  <c r="G114" i="35"/>
  <c r="E115" i="35"/>
  <c r="D115" i="35"/>
  <c r="I116" i="25"/>
  <c r="D114" i="37"/>
  <c r="G113" i="37"/>
  <c r="E114" i="37"/>
  <c r="J117" i="21"/>
  <c r="B121" i="19"/>
  <c r="G114" i="34"/>
  <c r="D115" i="34"/>
  <c r="E115" i="34"/>
  <c r="G118" i="27"/>
  <c r="D119" i="27"/>
  <c r="E119" i="27"/>
  <c r="D115" i="38"/>
  <c r="G114" i="38"/>
  <c r="G118" i="21"/>
  <c r="D119" i="21"/>
  <c r="E119" i="21"/>
  <c r="G118" i="24"/>
  <c r="D119" i="24"/>
  <c r="E119" i="24"/>
  <c r="I120" i="19"/>
  <c r="I119" i="29"/>
  <c r="B118" i="22"/>
  <c r="F118" i="22"/>
  <c r="H118" i="22" s="1"/>
  <c r="B122" i="3"/>
  <c r="B115" i="20"/>
  <c r="I122" i="23"/>
  <c r="I121" i="3"/>
  <c r="H114" i="20"/>
  <c r="I114" i="20"/>
  <c r="I117" i="22"/>
  <c r="E123" i="23"/>
  <c r="F123" i="23" s="1"/>
  <c r="H123" i="23" s="1"/>
  <c r="E122" i="3"/>
  <c r="F122" i="3" s="1"/>
  <c r="H122" i="3" s="1"/>
  <c r="E115" i="20"/>
  <c r="F115" i="20" s="1"/>
  <c r="H50" i="28" l="1"/>
  <c r="G50" i="28"/>
  <c r="E51" i="28"/>
  <c r="F51" i="28" s="1"/>
  <c r="B31" i="39"/>
  <c r="F31" i="39"/>
  <c r="H31" i="39" s="1"/>
  <c r="B121" i="18"/>
  <c r="E115" i="38"/>
  <c r="F115" i="38" s="1"/>
  <c r="H115" i="38" s="1"/>
  <c r="D115" i="39"/>
  <c r="E115" i="39"/>
  <c r="G114" i="39"/>
  <c r="B37" i="24"/>
  <c r="F37" i="24"/>
  <c r="G37" i="24" s="1"/>
  <c r="H114" i="13"/>
  <c r="I114" i="13"/>
  <c r="E115" i="13"/>
  <c r="F115" i="13" s="1"/>
  <c r="B115" i="13"/>
  <c r="G36" i="27"/>
  <c r="I36" i="27" s="1"/>
  <c r="G32" i="31"/>
  <c r="I32" i="31" s="1"/>
  <c r="G30" i="38"/>
  <c r="I30" i="38" s="1"/>
  <c r="H32" i="34"/>
  <c r="I32" i="34" s="1"/>
  <c r="G34" i="13"/>
  <c r="I34" i="13" s="1"/>
  <c r="G31" i="37"/>
  <c r="I31" i="37" s="1"/>
  <c r="F37" i="21"/>
  <c r="G37" i="21" s="1"/>
  <c r="B37" i="21"/>
  <c r="G34" i="25"/>
  <c r="I34" i="25" s="1"/>
  <c r="D33" i="34"/>
  <c r="E33" i="34"/>
  <c r="D35" i="13"/>
  <c r="E37" i="23"/>
  <c r="D37" i="23"/>
  <c r="G32" i="35"/>
  <c r="I32" i="35" s="1"/>
  <c r="B36" i="22"/>
  <c r="F36" i="22"/>
  <c r="D32" i="37"/>
  <c r="E32" i="37"/>
  <c r="D36" i="26"/>
  <c r="E36" i="26"/>
  <c r="E46" i="20"/>
  <c r="F46" i="20" s="1"/>
  <c r="G45" i="20"/>
  <c r="H45" i="20"/>
  <c r="B46" i="20"/>
  <c r="G36" i="23"/>
  <c r="I36" i="23" s="1"/>
  <c r="I44" i="20"/>
  <c r="D37" i="27"/>
  <c r="E37" i="27"/>
  <c r="J122" i="23"/>
  <c r="I36" i="28"/>
  <c r="F41" i="3"/>
  <c r="B41" i="3"/>
  <c r="F39" i="18"/>
  <c r="H39" i="18" s="1"/>
  <c r="B39" i="18"/>
  <c r="H35" i="26"/>
  <c r="I35" i="26" s="1"/>
  <c r="D33" i="35"/>
  <c r="E33" i="35"/>
  <c r="D35" i="25"/>
  <c r="E35" i="25"/>
  <c r="D34" i="29"/>
  <c r="E34" i="29"/>
  <c r="B39" i="19"/>
  <c r="F39" i="19"/>
  <c r="H39" i="19" s="1"/>
  <c r="D31" i="38"/>
  <c r="E31" i="38"/>
  <c r="D33" i="31"/>
  <c r="E33" i="31"/>
  <c r="F40" i="4"/>
  <c r="H40" i="4" s="1"/>
  <c r="B40" i="4"/>
  <c r="H33" i="29"/>
  <c r="I33" i="29" s="1"/>
  <c r="E122" i="4"/>
  <c r="F122" i="4" s="1"/>
  <c r="H122" i="4" s="1"/>
  <c r="B122" i="4"/>
  <c r="I121" i="4"/>
  <c r="J119" i="29"/>
  <c r="E121" i="18"/>
  <c r="F121" i="18" s="1"/>
  <c r="H121" i="18" s="1"/>
  <c r="I120" i="18"/>
  <c r="B115" i="35"/>
  <c r="F115" i="35"/>
  <c r="H115" i="35" s="1"/>
  <c r="I114" i="35"/>
  <c r="I113" i="37"/>
  <c r="I117" i="26"/>
  <c r="D118" i="25"/>
  <c r="G117" i="25"/>
  <c r="E118" i="25"/>
  <c r="B114" i="37"/>
  <c r="F114" i="37"/>
  <c r="H114" i="37" s="1"/>
  <c r="F118" i="26"/>
  <c r="H118" i="26" s="1"/>
  <c r="B118" i="26"/>
  <c r="J116" i="25"/>
  <c r="I114" i="31"/>
  <c r="J121" i="3"/>
  <c r="B119" i="28"/>
  <c r="F115" i="31"/>
  <c r="H115" i="31" s="1"/>
  <c r="B115" i="31"/>
  <c r="I118" i="24"/>
  <c r="I114" i="38"/>
  <c r="B119" i="21"/>
  <c r="F119" i="21"/>
  <c r="H119" i="21" s="1"/>
  <c r="I118" i="21"/>
  <c r="I114" i="34"/>
  <c r="B119" i="24"/>
  <c r="F119" i="24"/>
  <c r="H119" i="24" s="1"/>
  <c r="B115" i="34"/>
  <c r="F115" i="34"/>
  <c r="H115" i="34" s="1"/>
  <c r="F119" i="27"/>
  <c r="H119" i="27" s="1"/>
  <c r="B119" i="27"/>
  <c r="D122" i="19"/>
  <c r="G121" i="19"/>
  <c r="J120" i="19"/>
  <c r="D121" i="29"/>
  <c r="G120" i="29"/>
  <c r="B115" i="38"/>
  <c r="J114" i="20"/>
  <c r="I118" i="27"/>
  <c r="G115" i="20"/>
  <c r="D116" i="20"/>
  <c r="E116" i="20" s="1"/>
  <c r="D123" i="3"/>
  <c r="G122" i="3"/>
  <c r="G123" i="23"/>
  <c r="D124" i="23"/>
  <c r="J117" i="22"/>
  <c r="G118" i="22"/>
  <c r="D119" i="22"/>
  <c r="H51" i="28" l="1"/>
  <c r="G51" i="28"/>
  <c r="E52" i="28"/>
  <c r="F52" i="28" s="1"/>
  <c r="G31" i="39"/>
  <c r="I31" i="39" s="1"/>
  <c r="D32" i="39"/>
  <c r="E32" i="39"/>
  <c r="E124" i="23"/>
  <c r="F124" i="23" s="1"/>
  <c r="H124" i="23" s="1"/>
  <c r="E123" i="3"/>
  <c r="F123" i="3" s="1"/>
  <c r="H123" i="3" s="1"/>
  <c r="I114" i="39"/>
  <c r="B115" i="39"/>
  <c r="F115" i="39"/>
  <c r="H115" i="39" s="1"/>
  <c r="H37" i="24"/>
  <c r="I37" i="24" s="1"/>
  <c r="E38" i="24"/>
  <c r="D38" i="24"/>
  <c r="H37" i="21"/>
  <c r="I37" i="21" s="1"/>
  <c r="J114" i="13"/>
  <c r="G115" i="13"/>
  <c r="D116" i="13"/>
  <c r="J114" i="35"/>
  <c r="J118" i="28"/>
  <c r="I45" i="20"/>
  <c r="G39" i="18"/>
  <c r="I39" i="18" s="1"/>
  <c r="J121" i="4"/>
  <c r="J120" i="18"/>
  <c r="D42" i="3"/>
  <c r="E42" i="3"/>
  <c r="F33" i="34"/>
  <c r="G33" i="34" s="1"/>
  <c r="B33" i="34"/>
  <c r="B31" i="38"/>
  <c r="F31" i="38"/>
  <c r="G31" i="38" s="1"/>
  <c r="B32" i="37"/>
  <c r="F32" i="37"/>
  <c r="G32" i="37" s="1"/>
  <c r="B37" i="23"/>
  <c r="F37" i="23"/>
  <c r="H37" i="23" s="1"/>
  <c r="D37" i="22"/>
  <c r="E37" i="22"/>
  <c r="D40" i="19"/>
  <c r="E40" i="19"/>
  <c r="F34" i="29"/>
  <c r="H36" i="22"/>
  <c r="B35" i="13"/>
  <c r="D41" i="4"/>
  <c r="E41" i="4"/>
  <c r="D40" i="18"/>
  <c r="E40" i="18"/>
  <c r="G36" i="22"/>
  <c r="E35" i="13"/>
  <c r="F35" i="13" s="1"/>
  <c r="G40" i="4"/>
  <c r="I40" i="4" s="1"/>
  <c r="G39" i="19"/>
  <c r="I39" i="19" s="1"/>
  <c r="B35" i="25"/>
  <c r="F35" i="25"/>
  <c r="H35" i="25" s="1"/>
  <c r="B37" i="27"/>
  <c r="F37" i="27"/>
  <c r="H37" i="27" s="1"/>
  <c r="G46" i="20"/>
  <c r="B47" i="20"/>
  <c r="H46" i="20"/>
  <c r="E47" i="20"/>
  <c r="F47" i="20" s="1"/>
  <c r="D38" i="21"/>
  <c r="E38" i="21"/>
  <c r="H41" i="3"/>
  <c r="F33" i="31"/>
  <c r="H33" i="31" s="1"/>
  <c r="B33" i="31"/>
  <c r="F33" i="35"/>
  <c r="B33" i="35"/>
  <c r="G41" i="3"/>
  <c r="B36" i="26"/>
  <c r="F36" i="26"/>
  <c r="G36" i="26" s="1"/>
  <c r="B37" i="28"/>
  <c r="G121" i="18"/>
  <c r="D122" i="18"/>
  <c r="J114" i="31"/>
  <c r="D123" i="4"/>
  <c r="G122" i="4"/>
  <c r="G114" i="37"/>
  <c r="E115" i="37"/>
  <c r="D115" i="37"/>
  <c r="I117" i="25"/>
  <c r="F118" i="25"/>
  <c r="H118" i="25" s="1"/>
  <c r="B118" i="25"/>
  <c r="J117" i="26"/>
  <c r="E116" i="35"/>
  <c r="G115" i="35"/>
  <c r="D116" i="35"/>
  <c r="J114" i="34"/>
  <c r="D116" i="31"/>
  <c r="G115" i="31"/>
  <c r="E116" i="31"/>
  <c r="D119" i="26"/>
  <c r="G118" i="26"/>
  <c r="J113" i="37"/>
  <c r="G119" i="27"/>
  <c r="D120" i="27"/>
  <c r="J118" i="21"/>
  <c r="B122" i="19"/>
  <c r="G115" i="34"/>
  <c r="D116" i="34"/>
  <c r="E116" i="34"/>
  <c r="D120" i="21"/>
  <c r="G119" i="21"/>
  <c r="J118" i="27"/>
  <c r="G115" i="38"/>
  <c r="D116" i="38"/>
  <c r="E122" i="19"/>
  <c r="F122" i="19" s="1"/>
  <c r="H122" i="19" s="1"/>
  <c r="I120" i="29"/>
  <c r="E121" i="29"/>
  <c r="F121" i="29" s="1"/>
  <c r="H121" i="29" s="1"/>
  <c r="I121" i="19"/>
  <c r="D120" i="24"/>
  <c r="G119" i="24"/>
  <c r="E120" i="24"/>
  <c r="J114" i="38"/>
  <c r="J118" i="24"/>
  <c r="I122" i="3"/>
  <c r="B123" i="3"/>
  <c r="B119" i="22"/>
  <c r="I118" i="22"/>
  <c r="B116" i="20"/>
  <c r="F116" i="20"/>
  <c r="I123" i="23"/>
  <c r="E119" i="22"/>
  <c r="F119" i="22" s="1"/>
  <c r="H119" i="22" s="1"/>
  <c r="I115" i="20"/>
  <c r="H115" i="20"/>
  <c r="H52" i="28" l="1"/>
  <c r="G52" i="28"/>
  <c r="E53" i="28"/>
  <c r="F53" i="28" s="1"/>
  <c r="F32" i="39"/>
  <c r="H32" i="39" s="1"/>
  <c r="B32" i="39"/>
  <c r="E120" i="27"/>
  <c r="F120" i="27" s="1"/>
  <c r="H120" i="27" s="1"/>
  <c r="E120" i="21"/>
  <c r="F120" i="21" s="1"/>
  <c r="H120" i="21" s="1"/>
  <c r="E119" i="26"/>
  <c r="F119" i="26" s="1"/>
  <c r="H119" i="26" s="1"/>
  <c r="E116" i="38"/>
  <c r="F116" i="38" s="1"/>
  <c r="H116" i="38" s="1"/>
  <c r="B120" i="28"/>
  <c r="D116" i="39"/>
  <c r="G115" i="39"/>
  <c r="E116" i="39"/>
  <c r="J114" i="39"/>
  <c r="I46" i="20"/>
  <c r="F38" i="24"/>
  <c r="G38" i="24" s="1"/>
  <c r="B38" i="24"/>
  <c r="E116" i="13"/>
  <c r="F116" i="13" s="1"/>
  <c r="B116" i="13"/>
  <c r="H115" i="13"/>
  <c r="I115" i="13"/>
  <c r="H31" i="38"/>
  <c r="I31" i="38" s="1"/>
  <c r="H33" i="34"/>
  <c r="I33" i="34" s="1"/>
  <c r="G33" i="31"/>
  <c r="I33" i="31" s="1"/>
  <c r="G37" i="27"/>
  <c r="I37" i="27" s="1"/>
  <c r="G35" i="25"/>
  <c r="I35" i="25" s="1"/>
  <c r="D36" i="13"/>
  <c r="E36" i="13" s="1"/>
  <c r="G35" i="13"/>
  <c r="H35" i="13"/>
  <c r="D34" i="35"/>
  <c r="E34" i="35"/>
  <c r="F40" i="19"/>
  <c r="H40" i="19" s="1"/>
  <c r="B40" i="19"/>
  <c r="D33" i="37"/>
  <c r="E33" i="37"/>
  <c r="D37" i="26"/>
  <c r="E37" i="26"/>
  <c r="B38" i="21"/>
  <c r="F38" i="21"/>
  <c r="G38" i="21" s="1"/>
  <c r="H47" i="20"/>
  <c r="E48" i="20"/>
  <c r="F48" i="20" s="1"/>
  <c r="G47" i="20"/>
  <c r="B48" i="20"/>
  <c r="B37" i="22"/>
  <c r="F37" i="22"/>
  <c r="H37" i="22" s="1"/>
  <c r="H32" i="37"/>
  <c r="I32" i="37" s="1"/>
  <c r="H36" i="26"/>
  <c r="I36" i="26" s="1"/>
  <c r="I36" i="22"/>
  <c r="D34" i="34"/>
  <c r="E34" i="34"/>
  <c r="D36" i="25"/>
  <c r="E36" i="25"/>
  <c r="B40" i="18"/>
  <c r="F40" i="18"/>
  <c r="D35" i="29"/>
  <c r="E35" i="29"/>
  <c r="G33" i="35"/>
  <c r="G34" i="29"/>
  <c r="D38" i="23"/>
  <c r="E38" i="23"/>
  <c r="B42" i="3"/>
  <c r="F42" i="3"/>
  <c r="G42" i="3" s="1"/>
  <c r="H33" i="35"/>
  <c r="D34" i="31"/>
  <c r="E34" i="31"/>
  <c r="B41" i="4"/>
  <c r="F41" i="4"/>
  <c r="H34" i="29"/>
  <c r="D32" i="38"/>
  <c r="E32" i="38"/>
  <c r="I37" i="28"/>
  <c r="I41" i="3"/>
  <c r="D38" i="27"/>
  <c r="E38" i="27"/>
  <c r="G37" i="23"/>
  <c r="I37" i="23" s="1"/>
  <c r="I122" i="4"/>
  <c r="J117" i="25"/>
  <c r="E123" i="4"/>
  <c r="F123" i="4" s="1"/>
  <c r="H123" i="4" s="1"/>
  <c r="B123" i="4"/>
  <c r="E122" i="18"/>
  <c r="F122" i="18" s="1"/>
  <c r="H122" i="18" s="1"/>
  <c r="B122" i="18"/>
  <c r="I121" i="18"/>
  <c r="F116" i="31"/>
  <c r="H116" i="31" s="1"/>
  <c r="B116" i="31"/>
  <c r="B116" i="35"/>
  <c r="F116" i="35"/>
  <c r="H116" i="35" s="1"/>
  <c r="B115" i="37"/>
  <c r="F115" i="37"/>
  <c r="H115" i="37" s="1"/>
  <c r="I115" i="35"/>
  <c r="I118" i="26"/>
  <c r="I114" i="37"/>
  <c r="B119" i="26"/>
  <c r="I115" i="31"/>
  <c r="G118" i="25"/>
  <c r="D119" i="25"/>
  <c r="J120" i="29"/>
  <c r="J121" i="19"/>
  <c r="G122" i="19"/>
  <c r="D123" i="19"/>
  <c r="G121" i="29"/>
  <c r="D122" i="29"/>
  <c r="B120" i="21"/>
  <c r="I115" i="38"/>
  <c r="I119" i="21"/>
  <c r="I119" i="24"/>
  <c r="B120" i="27"/>
  <c r="B116" i="38"/>
  <c r="J115" i="20"/>
  <c r="J122" i="3"/>
  <c r="B116" i="34"/>
  <c r="F116" i="34"/>
  <c r="H116" i="34" s="1"/>
  <c r="I119" i="27"/>
  <c r="B120" i="24"/>
  <c r="F120" i="24"/>
  <c r="H120" i="24" s="1"/>
  <c r="I115" i="34"/>
  <c r="G119" i="22"/>
  <c r="D120" i="22"/>
  <c r="D125" i="23"/>
  <c r="G124" i="23"/>
  <c r="J123" i="23"/>
  <c r="J118" i="22"/>
  <c r="D124" i="3"/>
  <c r="G123" i="3"/>
  <c r="G116" i="20"/>
  <c r="D117" i="20"/>
  <c r="G32" i="39" l="1"/>
  <c r="H53" i="28"/>
  <c r="G53" i="28"/>
  <c r="E54" i="28"/>
  <c r="F54" i="28" s="1"/>
  <c r="I32" i="39"/>
  <c r="E33" i="39"/>
  <c r="D33" i="39"/>
  <c r="E123" i="19"/>
  <c r="E119" i="25"/>
  <c r="E124" i="3"/>
  <c r="F124" i="3" s="1"/>
  <c r="H124" i="3" s="1"/>
  <c r="E120" i="22"/>
  <c r="F120" i="22" s="1"/>
  <c r="H120" i="22" s="1"/>
  <c r="E122" i="29"/>
  <c r="F122" i="29" s="1"/>
  <c r="H122" i="29" s="1"/>
  <c r="I115" i="39"/>
  <c r="F116" i="39"/>
  <c r="H116" i="39" s="1"/>
  <c r="B116" i="39"/>
  <c r="H38" i="24"/>
  <c r="I38" i="24" s="1"/>
  <c r="H38" i="21"/>
  <c r="I38" i="21" s="1"/>
  <c r="D39" i="24"/>
  <c r="E39" i="24"/>
  <c r="I34" i="29"/>
  <c r="J115" i="35"/>
  <c r="J118" i="26"/>
  <c r="G37" i="22"/>
  <c r="I37" i="22" s="1"/>
  <c r="J115" i="31"/>
  <c r="D117" i="13"/>
  <c r="G116" i="13"/>
  <c r="J119" i="28"/>
  <c r="J115" i="13"/>
  <c r="I33" i="35"/>
  <c r="I35" i="13"/>
  <c r="I47" i="20"/>
  <c r="G40" i="19"/>
  <c r="I40" i="19" s="1"/>
  <c r="J121" i="18"/>
  <c r="D41" i="18"/>
  <c r="E41" i="18"/>
  <c r="B49" i="20"/>
  <c r="H48" i="20"/>
  <c r="G48" i="20"/>
  <c r="E49" i="20"/>
  <c r="F49" i="20" s="1"/>
  <c r="D42" i="4"/>
  <c r="E42" i="4"/>
  <c r="H41" i="4"/>
  <c r="D43" i="3"/>
  <c r="E43" i="3"/>
  <c r="B38" i="28"/>
  <c r="B38" i="27"/>
  <c r="F38" i="27"/>
  <c r="G41" i="4"/>
  <c r="H42" i="3"/>
  <c r="I42" i="3" s="1"/>
  <c r="B36" i="25"/>
  <c r="F36" i="25"/>
  <c r="G36" i="25" s="1"/>
  <c r="B37" i="26"/>
  <c r="F37" i="26"/>
  <c r="G37" i="26" s="1"/>
  <c r="B34" i="35"/>
  <c r="F34" i="35"/>
  <c r="D38" i="22"/>
  <c r="E38" i="22"/>
  <c r="D39" i="21"/>
  <c r="E39" i="21"/>
  <c r="F35" i="29"/>
  <c r="H35" i="29" s="1"/>
  <c r="F33" i="37"/>
  <c r="G33" i="37" s="1"/>
  <c r="B33" i="37"/>
  <c r="F38" i="23"/>
  <c r="B38" i="23"/>
  <c r="H40" i="18"/>
  <c r="B34" i="34"/>
  <c r="F34" i="34"/>
  <c r="G34" i="34" s="1"/>
  <c r="J122" i="4"/>
  <c r="F32" i="38"/>
  <c r="B32" i="38"/>
  <c r="B34" i="31"/>
  <c r="F34" i="31"/>
  <c r="G40" i="18"/>
  <c r="D41" i="19"/>
  <c r="E41" i="19"/>
  <c r="F36" i="13"/>
  <c r="H36" i="13" s="1"/>
  <c r="B36" i="13"/>
  <c r="D123" i="18"/>
  <c r="G122" i="18"/>
  <c r="G123" i="4"/>
  <c r="D124" i="4"/>
  <c r="J115" i="38"/>
  <c r="G119" i="26"/>
  <c r="D120" i="26"/>
  <c r="G115" i="37"/>
  <c r="D116" i="37"/>
  <c r="E116" i="37"/>
  <c r="B119" i="25"/>
  <c r="F119" i="25"/>
  <c r="H119" i="25" s="1"/>
  <c r="I118" i="25"/>
  <c r="G116" i="35"/>
  <c r="D117" i="35"/>
  <c r="J114" i="37"/>
  <c r="D117" i="31"/>
  <c r="G116" i="31"/>
  <c r="D121" i="21"/>
  <c r="G120" i="21"/>
  <c r="D121" i="24"/>
  <c r="G120" i="24"/>
  <c r="J119" i="27"/>
  <c r="J119" i="24"/>
  <c r="J119" i="21"/>
  <c r="I121" i="29"/>
  <c r="D117" i="34"/>
  <c r="G116" i="34"/>
  <c r="D117" i="38"/>
  <c r="G116" i="38"/>
  <c r="F123" i="19"/>
  <c r="H123" i="19" s="1"/>
  <c r="B123" i="19"/>
  <c r="J115" i="34"/>
  <c r="D121" i="27"/>
  <c r="G120" i="27"/>
  <c r="I122" i="19"/>
  <c r="B117" i="20"/>
  <c r="I119" i="22"/>
  <c r="B120" i="22"/>
  <c r="I116" i="20"/>
  <c r="H116" i="20"/>
  <c r="I123" i="3"/>
  <c r="I124" i="23"/>
  <c r="E117" i="20"/>
  <c r="F117" i="20" s="1"/>
  <c r="B124" i="3"/>
  <c r="E125" i="23"/>
  <c r="F125" i="23" s="1"/>
  <c r="H125" i="23" s="1"/>
  <c r="H54" i="28" l="1"/>
  <c r="G54" i="28"/>
  <c r="E55" i="28"/>
  <c r="F55" i="28" s="1"/>
  <c r="F33" i="39"/>
  <c r="H33" i="39" s="1"/>
  <c r="B33" i="39"/>
  <c r="E121" i="21"/>
  <c r="F121" i="21" s="1"/>
  <c r="H121" i="21" s="1"/>
  <c r="E121" i="24"/>
  <c r="F121" i="24" s="1"/>
  <c r="H121" i="24" s="1"/>
  <c r="B124" i="4"/>
  <c r="E117" i="38"/>
  <c r="F117" i="38" s="1"/>
  <c r="H117" i="38" s="1"/>
  <c r="B117" i="31"/>
  <c r="B121" i="28"/>
  <c r="D117" i="39"/>
  <c r="E117" i="39"/>
  <c r="G116" i="39"/>
  <c r="J115" i="39"/>
  <c r="F39" i="24"/>
  <c r="G39" i="24" s="1"/>
  <c r="B39" i="24"/>
  <c r="I116" i="13"/>
  <c r="H116" i="13"/>
  <c r="E117" i="13"/>
  <c r="F117" i="13" s="1"/>
  <c r="B117" i="13"/>
  <c r="G35" i="29"/>
  <c r="I35" i="29" s="1"/>
  <c r="H33" i="37"/>
  <c r="I33" i="37" s="1"/>
  <c r="I40" i="18"/>
  <c r="H36" i="25"/>
  <c r="D35" i="31"/>
  <c r="E35" i="31"/>
  <c r="D35" i="34"/>
  <c r="E35" i="34"/>
  <c r="D39" i="23"/>
  <c r="E39" i="23"/>
  <c r="B39" i="21"/>
  <c r="F39" i="21"/>
  <c r="G39" i="21" s="1"/>
  <c r="D38" i="26"/>
  <c r="E38" i="26"/>
  <c r="F42" i="4"/>
  <c r="G42" i="4" s="1"/>
  <c r="B42" i="4"/>
  <c r="J120" i="28"/>
  <c r="D37" i="13"/>
  <c r="E37" i="13" s="1"/>
  <c r="G34" i="31"/>
  <c r="H49" i="20"/>
  <c r="G49" i="20"/>
  <c r="E50" i="20"/>
  <c r="F50" i="20" s="1"/>
  <c r="B50" i="20"/>
  <c r="H34" i="34"/>
  <c r="I34" i="34" s="1"/>
  <c r="B38" i="22"/>
  <c r="F38" i="22"/>
  <c r="H37" i="26"/>
  <c r="I37" i="26" s="1"/>
  <c r="D39" i="27"/>
  <c r="E39" i="27"/>
  <c r="B41" i="19"/>
  <c r="F41" i="19"/>
  <c r="D33" i="38"/>
  <c r="E33" i="38"/>
  <c r="D34" i="37"/>
  <c r="E34" i="37"/>
  <c r="D35" i="35"/>
  <c r="E35" i="35"/>
  <c r="H38" i="27"/>
  <c r="B43" i="3"/>
  <c r="F43" i="3"/>
  <c r="H43" i="3" s="1"/>
  <c r="I48" i="20"/>
  <c r="H32" i="38"/>
  <c r="G38" i="23"/>
  <c r="I36" i="25"/>
  <c r="I41" i="4"/>
  <c r="G32" i="38"/>
  <c r="H38" i="23"/>
  <c r="D36" i="29"/>
  <c r="E36" i="29"/>
  <c r="G34" i="35"/>
  <c r="G38" i="27"/>
  <c r="G36" i="13"/>
  <c r="I36" i="13" s="1"/>
  <c r="H34" i="31"/>
  <c r="H34" i="35"/>
  <c r="D37" i="25"/>
  <c r="E37" i="25"/>
  <c r="F41" i="18"/>
  <c r="H41" i="18" s="1"/>
  <c r="B41" i="18"/>
  <c r="J121" i="29"/>
  <c r="E124" i="4"/>
  <c r="F124" i="4" s="1"/>
  <c r="H124" i="4" s="1"/>
  <c r="I123" i="4"/>
  <c r="I122" i="18"/>
  <c r="E117" i="31"/>
  <c r="F117" i="31" s="1"/>
  <c r="D118" i="31" s="1"/>
  <c r="J118" i="25"/>
  <c r="E123" i="18"/>
  <c r="F123" i="18" s="1"/>
  <c r="H123" i="18" s="1"/>
  <c r="B123" i="18"/>
  <c r="B116" i="37"/>
  <c r="F116" i="37"/>
  <c r="H116" i="37" s="1"/>
  <c r="E117" i="35"/>
  <c r="F117" i="35" s="1"/>
  <c r="H117" i="35" s="1"/>
  <c r="B117" i="35"/>
  <c r="I115" i="37"/>
  <c r="I116" i="35"/>
  <c r="E120" i="26"/>
  <c r="F120" i="26" s="1"/>
  <c r="H120" i="26" s="1"/>
  <c r="B120" i="26"/>
  <c r="I119" i="26"/>
  <c r="I116" i="31"/>
  <c r="D120" i="25"/>
  <c r="G119" i="25"/>
  <c r="J122" i="19"/>
  <c r="I120" i="24"/>
  <c r="B117" i="34"/>
  <c r="B117" i="38"/>
  <c r="B121" i="24"/>
  <c r="B121" i="27"/>
  <c r="I116" i="38"/>
  <c r="J124" i="23"/>
  <c r="G123" i="19"/>
  <c r="D124" i="19"/>
  <c r="E121" i="27"/>
  <c r="F121" i="27" s="1"/>
  <c r="H121" i="27" s="1"/>
  <c r="E117" i="34"/>
  <c r="F117" i="34" s="1"/>
  <c r="H117" i="34" s="1"/>
  <c r="G122" i="29"/>
  <c r="D123" i="29"/>
  <c r="I120" i="21"/>
  <c r="J123" i="3"/>
  <c r="J119" i="22"/>
  <c r="I120" i="27"/>
  <c r="I116" i="34"/>
  <c r="B121" i="21"/>
  <c r="G125" i="23"/>
  <c r="D126" i="23"/>
  <c r="G117" i="20"/>
  <c r="D118" i="20"/>
  <c r="E118" i="20" s="1"/>
  <c r="G120" i="22"/>
  <c r="D121" i="22"/>
  <c r="J116" i="20"/>
  <c r="G124" i="3"/>
  <c r="D125" i="3"/>
  <c r="H55" i="28" l="1"/>
  <c r="G55" i="28"/>
  <c r="E56" i="28"/>
  <c r="F56" i="28" s="1"/>
  <c r="G33" i="39"/>
  <c r="I33" i="39" s="1"/>
  <c r="D34" i="39"/>
  <c r="E34" i="39"/>
  <c r="E121" i="22"/>
  <c r="F121" i="22" s="1"/>
  <c r="H121" i="22" s="1"/>
  <c r="E125" i="3"/>
  <c r="F125" i="3" s="1"/>
  <c r="H125" i="3" s="1"/>
  <c r="H117" i="31"/>
  <c r="E123" i="29"/>
  <c r="F123" i="29" s="1"/>
  <c r="H123" i="29" s="1"/>
  <c r="B122" i="28"/>
  <c r="I116" i="39"/>
  <c r="F117" i="39"/>
  <c r="H117" i="39" s="1"/>
  <c r="B117" i="39"/>
  <c r="H39" i="24"/>
  <c r="I39" i="24" s="1"/>
  <c r="E40" i="24"/>
  <c r="D40" i="24"/>
  <c r="I34" i="31"/>
  <c r="G117" i="13"/>
  <c r="D118" i="13"/>
  <c r="B118" i="13" s="1"/>
  <c r="G117" i="31"/>
  <c r="I117" i="31" s="1"/>
  <c r="J116" i="13"/>
  <c r="I38" i="27"/>
  <c r="H42" i="4"/>
  <c r="I42" i="4" s="1"/>
  <c r="G43" i="3"/>
  <c r="I43" i="3" s="1"/>
  <c r="I32" i="38"/>
  <c r="D42" i="19"/>
  <c r="E42" i="19"/>
  <c r="D39" i="22"/>
  <c r="E39" i="22"/>
  <c r="I38" i="28"/>
  <c r="B39" i="28"/>
  <c r="H41" i="19"/>
  <c r="H38" i="22"/>
  <c r="B38" i="26"/>
  <c r="F38" i="26"/>
  <c r="B39" i="23"/>
  <c r="F39" i="23"/>
  <c r="G39" i="23" s="1"/>
  <c r="B35" i="35"/>
  <c r="F35" i="35"/>
  <c r="G35" i="35" s="1"/>
  <c r="G41" i="19"/>
  <c r="B37" i="13"/>
  <c r="F37" i="13"/>
  <c r="D40" i="21"/>
  <c r="E40" i="21"/>
  <c r="B35" i="34"/>
  <c r="F35" i="34"/>
  <c r="G35" i="34" s="1"/>
  <c r="D42" i="18"/>
  <c r="E42" i="18"/>
  <c r="F37" i="25"/>
  <c r="G37" i="25" s="1"/>
  <c r="B37" i="25"/>
  <c r="F36" i="29"/>
  <c r="G36" i="29" s="1"/>
  <c r="F34" i="37"/>
  <c r="H34" i="37" s="1"/>
  <c r="B34" i="37"/>
  <c r="B39" i="27"/>
  <c r="F39" i="27"/>
  <c r="B51" i="20"/>
  <c r="H50" i="20"/>
  <c r="G50" i="20"/>
  <c r="E51" i="20"/>
  <c r="F51" i="20" s="1"/>
  <c r="G41" i="18"/>
  <c r="I41" i="18" s="1"/>
  <c r="I34" i="35"/>
  <c r="I38" i="23"/>
  <c r="H39" i="21"/>
  <c r="I39" i="21" s="1"/>
  <c r="B35" i="31"/>
  <c r="F35" i="31"/>
  <c r="J123" i="4"/>
  <c r="D44" i="3"/>
  <c r="E44" i="3"/>
  <c r="B33" i="38"/>
  <c r="F33" i="38"/>
  <c r="G33" i="38" s="1"/>
  <c r="G38" i="22"/>
  <c r="I49" i="20"/>
  <c r="D43" i="4"/>
  <c r="E43" i="4"/>
  <c r="J116" i="38"/>
  <c r="J120" i="24"/>
  <c r="J122" i="18"/>
  <c r="G123" i="18"/>
  <c r="D124" i="18"/>
  <c r="J116" i="35"/>
  <c r="D125" i="4"/>
  <c r="G124" i="4"/>
  <c r="D118" i="35"/>
  <c r="G117" i="35"/>
  <c r="J119" i="26"/>
  <c r="J115" i="37"/>
  <c r="I119" i="25"/>
  <c r="E118" i="31"/>
  <c r="F118" i="31" s="1"/>
  <c r="H118" i="31" s="1"/>
  <c r="B118" i="31"/>
  <c r="E120" i="25"/>
  <c r="F120" i="25" s="1"/>
  <c r="H120" i="25" s="1"/>
  <c r="B120" i="25"/>
  <c r="G120" i="26"/>
  <c r="D121" i="26"/>
  <c r="J120" i="21"/>
  <c r="G116" i="37"/>
  <c r="D117" i="37"/>
  <c r="J116" i="31"/>
  <c r="J116" i="34"/>
  <c r="G121" i="27"/>
  <c r="D122" i="27"/>
  <c r="G117" i="38"/>
  <c r="D118" i="38"/>
  <c r="J120" i="27"/>
  <c r="B124" i="19"/>
  <c r="G117" i="34"/>
  <c r="D118" i="34"/>
  <c r="I122" i="29"/>
  <c r="I123" i="19"/>
  <c r="D122" i="24"/>
  <c r="G121" i="24"/>
  <c r="D122" i="21"/>
  <c r="G121" i="21"/>
  <c r="E124" i="19"/>
  <c r="F124" i="19" s="1"/>
  <c r="H124" i="19" s="1"/>
  <c r="B121" i="22"/>
  <c r="B125" i="3"/>
  <c r="I120" i="22"/>
  <c r="I125" i="23"/>
  <c r="F118" i="20"/>
  <c r="B118" i="20"/>
  <c r="I117" i="20"/>
  <c r="H117" i="20"/>
  <c r="I124" i="3"/>
  <c r="E126" i="23"/>
  <c r="F126" i="23" s="1"/>
  <c r="H126" i="23" s="1"/>
  <c r="H56" i="28" l="1"/>
  <c r="G56" i="28"/>
  <c r="E57" i="28"/>
  <c r="F57" i="28" s="1"/>
  <c r="B34" i="39"/>
  <c r="F34" i="39"/>
  <c r="H34" i="39" s="1"/>
  <c r="E122" i="24"/>
  <c r="F122" i="24" s="1"/>
  <c r="H122" i="24" s="1"/>
  <c r="B121" i="26"/>
  <c r="E122" i="27"/>
  <c r="F122" i="27" s="1"/>
  <c r="H122" i="27" s="1"/>
  <c r="E122" i="21"/>
  <c r="F122" i="21" s="1"/>
  <c r="H122" i="21" s="1"/>
  <c r="E124" i="18"/>
  <c r="F124" i="18" s="1"/>
  <c r="H124" i="18" s="1"/>
  <c r="E118" i="38"/>
  <c r="F118" i="38" s="1"/>
  <c r="H118" i="38" s="1"/>
  <c r="E118" i="35"/>
  <c r="F118" i="35" s="1"/>
  <c r="H118" i="35" s="1"/>
  <c r="E118" i="34"/>
  <c r="F118" i="34" s="1"/>
  <c r="H118" i="34" s="1"/>
  <c r="E118" i="39"/>
  <c r="D118" i="39"/>
  <c r="G117" i="39"/>
  <c r="J116" i="39"/>
  <c r="B40" i="24"/>
  <c r="F40" i="24"/>
  <c r="H40" i="24" s="1"/>
  <c r="E118" i="13"/>
  <c r="F118" i="13" s="1"/>
  <c r="G118" i="13" s="1"/>
  <c r="H118" i="13" s="1"/>
  <c r="H39" i="23"/>
  <c r="I39" i="23" s="1"/>
  <c r="J119" i="25"/>
  <c r="I117" i="13"/>
  <c r="H117" i="13"/>
  <c r="G34" i="37"/>
  <c r="I34" i="37" s="1"/>
  <c r="H37" i="25"/>
  <c r="I37" i="25" s="1"/>
  <c r="H36" i="29"/>
  <c r="I36" i="29" s="1"/>
  <c r="F43" i="4"/>
  <c r="H43" i="4" s="1"/>
  <c r="B43" i="4"/>
  <c r="B44" i="3"/>
  <c r="F44" i="3"/>
  <c r="D38" i="13"/>
  <c r="E38" i="13" s="1"/>
  <c r="D39" i="26"/>
  <c r="E39" i="26"/>
  <c r="D40" i="27"/>
  <c r="E40" i="27"/>
  <c r="B42" i="18"/>
  <c r="F42" i="18"/>
  <c r="H37" i="13"/>
  <c r="D37" i="29"/>
  <c r="E37" i="29"/>
  <c r="D36" i="34"/>
  <c r="E36" i="34"/>
  <c r="G37" i="13"/>
  <c r="I38" i="22"/>
  <c r="D36" i="31"/>
  <c r="E36" i="31"/>
  <c r="H39" i="27"/>
  <c r="I41" i="19"/>
  <c r="D34" i="38"/>
  <c r="E34" i="38"/>
  <c r="G39" i="27"/>
  <c r="D40" i="23"/>
  <c r="E40" i="23"/>
  <c r="H35" i="31"/>
  <c r="H51" i="20"/>
  <c r="G51" i="20"/>
  <c r="E52" i="20"/>
  <c r="F52" i="20" s="1"/>
  <c r="B52" i="20"/>
  <c r="H35" i="34"/>
  <c r="I35" i="34" s="1"/>
  <c r="D36" i="35"/>
  <c r="E36" i="35"/>
  <c r="B39" i="22"/>
  <c r="F39" i="22"/>
  <c r="G39" i="22" s="1"/>
  <c r="H33" i="38"/>
  <c r="I33" i="38" s="1"/>
  <c r="G35" i="31"/>
  <c r="H38" i="26"/>
  <c r="J117" i="31"/>
  <c r="I50" i="20"/>
  <c r="D35" i="37"/>
  <c r="E35" i="37"/>
  <c r="D38" i="25"/>
  <c r="E38" i="25"/>
  <c r="F40" i="21"/>
  <c r="B40" i="21"/>
  <c r="H35" i="35"/>
  <c r="I35" i="35" s="1"/>
  <c r="G38" i="26"/>
  <c r="I39" i="28"/>
  <c r="F42" i="19"/>
  <c r="G42" i="19" s="1"/>
  <c r="B42" i="19"/>
  <c r="E125" i="4"/>
  <c r="F125" i="4" s="1"/>
  <c r="H125" i="4" s="1"/>
  <c r="B125" i="4"/>
  <c r="J125" i="23"/>
  <c r="I123" i="18"/>
  <c r="B124" i="18"/>
  <c r="J121" i="28"/>
  <c r="I124" i="4"/>
  <c r="D121" i="25"/>
  <c r="G120" i="25"/>
  <c r="I116" i="37"/>
  <c r="G118" i="31"/>
  <c r="D119" i="31"/>
  <c r="E121" i="26"/>
  <c r="F121" i="26" s="1"/>
  <c r="H121" i="26" s="1"/>
  <c r="I120" i="26"/>
  <c r="I117" i="35"/>
  <c r="E117" i="37"/>
  <c r="F117" i="37" s="1"/>
  <c r="H117" i="37" s="1"/>
  <c r="B117" i="37"/>
  <c r="B118" i="35"/>
  <c r="G124" i="19"/>
  <c r="D125" i="19"/>
  <c r="B118" i="34"/>
  <c r="B118" i="38"/>
  <c r="I121" i="24"/>
  <c r="I117" i="34"/>
  <c r="I117" i="38"/>
  <c r="I121" i="21"/>
  <c r="B122" i="24"/>
  <c r="B122" i="21"/>
  <c r="J123" i="19"/>
  <c r="B122" i="27"/>
  <c r="G123" i="29"/>
  <c r="D124" i="29"/>
  <c r="J122" i="29"/>
  <c r="I121" i="27"/>
  <c r="J120" i="22"/>
  <c r="J117" i="20"/>
  <c r="D122" i="22"/>
  <c r="G121" i="22"/>
  <c r="D126" i="3"/>
  <c r="G125" i="3"/>
  <c r="J124" i="3"/>
  <c r="D127" i="23"/>
  <c r="G126" i="23"/>
  <c r="G118" i="20"/>
  <c r="D119" i="20"/>
  <c r="E119" i="20" s="1"/>
  <c r="H57" i="28" l="1"/>
  <c r="G57" i="28"/>
  <c r="E58" i="28"/>
  <c r="F58" i="28" s="1"/>
  <c r="G34" i="39"/>
  <c r="I34" i="39" s="1"/>
  <c r="D35" i="39"/>
  <c r="E35" i="39"/>
  <c r="E121" i="25"/>
  <c r="F121" i="25" s="1"/>
  <c r="H121" i="25" s="1"/>
  <c r="E126" i="3"/>
  <c r="F126" i="3" s="1"/>
  <c r="H126" i="3" s="1"/>
  <c r="F118" i="39"/>
  <c r="H118" i="39" s="1"/>
  <c r="B118" i="39"/>
  <c r="I117" i="39"/>
  <c r="G40" i="24"/>
  <c r="I40" i="24" s="1"/>
  <c r="D41" i="24"/>
  <c r="E41" i="24"/>
  <c r="I118" i="13"/>
  <c r="J118" i="13" s="1"/>
  <c r="D119" i="13"/>
  <c r="J121" i="27"/>
  <c r="J123" i="18"/>
  <c r="J116" i="37"/>
  <c r="J117" i="13"/>
  <c r="G43" i="4"/>
  <c r="I43" i="4" s="1"/>
  <c r="H39" i="22"/>
  <c r="I39" i="22" s="1"/>
  <c r="I39" i="27"/>
  <c r="J124" i="4"/>
  <c r="D41" i="21"/>
  <c r="E41" i="21"/>
  <c r="B36" i="35"/>
  <c r="F36" i="35"/>
  <c r="G36" i="35" s="1"/>
  <c r="D43" i="18"/>
  <c r="E43" i="18"/>
  <c r="D45" i="3"/>
  <c r="E45" i="3"/>
  <c r="D43" i="19"/>
  <c r="E43" i="19"/>
  <c r="H44" i="3"/>
  <c r="B38" i="25"/>
  <c r="F38" i="25"/>
  <c r="G38" i="25" s="1"/>
  <c r="F36" i="34"/>
  <c r="H36" i="34" s="1"/>
  <c r="B36" i="34"/>
  <c r="G44" i="3"/>
  <c r="E53" i="20"/>
  <c r="F53" i="20" s="1"/>
  <c r="G52" i="20"/>
  <c r="H52" i="20"/>
  <c r="B53" i="20"/>
  <c r="F40" i="27"/>
  <c r="H40" i="27" s="1"/>
  <c r="B40" i="27"/>
  <c r="B35" i="37"/>
  <c r="F35" i="37"/>
  <c r="H35" i="37" s="1"/>
  <c r="F40" i="23"/>
  <c r="B40" i="23"/>
  <c r="F36" i="31"/>
  <c r="H36" i="31" s="1"/>
  <c r="B36" i="31"/>
  <c r="F37" i="29"/>
  <c r="H37" i="29" s="1"/>
  <c r="D40" i="22"/>
  <c r="E40" i="22"/>
  <c r="I51" i="20"/>
  <c r="I37" i="13"/>
  <c r="F39" i="26"/>
  <c r="H39" i="26" s="1"/>
  <c r="B39" i="26"/>
  <c r="H40" i="21"/>
  <c r="I35" i="31"/>
  <c r="B40" i="28"/>
  <c r="G42" i="18"/>
  <c r="H42" i="19"/>
  <c r="I42" i="19" s="1"/>
  <c r="G40" i="21"/>
  <c r="I38" i="26"/>
  <c r="F34" i="38"/>
  <c r="G34" i="38" s="1"/>
  <c r="B34" i="38"/>
  <c r="H42" i="18"/>
  <c r="F38" i="13"/>
  <c r="H38" i="13" s="1"/>
  <c r="B38" i="13"/>
  <c r="D44" i="4"/>
  <c r="E44" i="4"/>
  <c r="G124" i="18"/>
  <c r="D125" i="18"/>
  <c r="G125" i="4"/>
  <c r="D126" i="4"/>
  <c r="J117" i="35"/>
  <c r="D118" i="37"/>
  <c r="G117" i="37"/>
  <c r="G121" i="26"/>
  <c r="D122" i="26"/>
  <c r="E119" i="31"/>
  <c r="F119" i="31" s="1"/>
  <c r="H119" i="31" s="1"/>
  <c r="B119" i="31"/>
  <c r="I118" i="31"/>
  <c r="B123" i="28"/>
  <c r="G118" i="35"/>
  <c r="D119" i="35"/>
  <c r="I120" i="25"/>
  <c r="J117" i="38"/>
  <c r="J120" i="26"/>
  <c r="B121" i="25"/>
  <c r="J121" i="21"/>
  <c r="J121" i="24"/>
  <c r="D119" i="38"/>
  <c r="G118" i="38"/>
  <c r="B125" i="19"/>
  <c r="G122" i="24"/>
  <c r="D123" i="24"/>
  <c r="J117" i="34"/>
  <c r="D119" i="34"/>
  <c r="G118" i="34"/>
  <c r="I124" i="19"/>
  <c r="E125" i="19"/>
  <c r="F125" i="19" s="1"/>
  <c r="H125" i="19" s="1"/>
  <c r="I123" i="29"/>
  <c r="G122" i="27"/>
  <c r="D123" i="27"/>
  <c r="G122" i="21"/>
  <c r="D123" i="21"/>
  <c r="E124" i="29"/>
  <c r="F124" i="29" s="1"/>
  <c r="H124" i="29" s="1"/>
  <c r="I125" i="3"/>
  <c r="I121" i="22"/>
  <c r="B126" i="3"/>
  <c r="B122" i="22"/>
  <c r="B119" i="20"/>
  <c r="F119" i="20"/>
  <c r="H118" i="20"/>
  <c r="I118" i="20"/>
  <c r="I126" i="23"/>
  <c r="E127" i="23"/>
  <c r="F127" i="23" s="1"/>
  <c r="H127" i="23" s="1"/>
  <c r="E122" i="22"/>
  <c r="F122" i="22" s="1"/>
  <c r="H122" i="22" s="1"/>
  <c r="H58" i="28" l="1"/>
  <c r="G58" i="28"/>
  <c r="E59" i="28"/>
  <c r="F59" i="28" s="1"/>
  <c r="F35" i="39"/>
  <c r="B35" i="39"/>
  <c r="E123" i="21"/>
  <c r="F123" i="21" s="1"/>
  <c r="H123" i="21" s="1"/>
  <c r="B125" i="18"/>
  <c r="E119" i="38"/>
  <c r="F119" i="38" s="1"/>
  <c r="H119" i="38" s="1"/>
  <c r="E119" i="35"/>
  <c r="F119" i="35" s="1"/>
  <c r="H119" i="35" s="1"/>
  <c r="E119" i="34"/>
  <c r="F119" i="34" s="1"/>
  <c r="H119" i="34" s="1"/>
  <c r="J117" i="39"/>
  <c r="G118" i="39"/>
  <c r="E119" i="39"/>
  <c r="D119" i="39"/>
  <c r="H36" i="35"/>
  <c r="I36" i="35" s="1"/>
  <c r="I42" i="18"/>
  <c r="F41" i="24"/>
  <c r="H41" i="24" s="1"/>
  <c r="B41" i="24"/>
  <c r="E119" i="13"/>
  <c r="F119" i="13" s="1"/>
  <c r="B119" i="13"/>
  <c r="G37" i="29"/>
  <c r="I37" i="29" s="1"/>
  <c r="G36" i="34"/>
  <c r="I36" i="34" s="1"/>
  <c r="J118" i="31"/>
  <c r="J124" i="19"/>
  <c r="G39" i="26"/>
  <c r="I39" i="26" s="1"/>
  <c r="H34" i="38"/>
  <c r="I34" i="38" s="1"/>
  <c r="G35" i="37"/>
  <c r="I35" i="37" s="1"/>
  <c r="J126" i="23"/>
  <c r="G40" i="27"/>
  <c r="I40" i="27" s="1"/>
  <c r="D39" i="13"/>
  <c r="D37" i="31"/>
  <c r="E37" i="31"/>
  <c r="B54" i="20"/>
  <c r="G53" i="20"/>
  <c r="H53" i="20"/>
  <c r="E54" i="20"/>
  <c r="F54" i="20" s="1"/>
  <c r="D39" i="25"/>
  <c r="E39" i="25"/>
  <c r="B43" i="18"/>
  <c r="F43" i="18"/>
  <c r="H43" i="18" s="1"/>
  <c r="I40" i="21"/>
  <c r="B40" i="22"/>
  <c r="F40" i="22"/>
  <c r="D41" i="23"/>
  <c r="E41" i="23"/>
  <c r="I44" i="3"/>
  <c r="G40" i="23"/>
  <c r="D37" i="35"/>
  <c r="E37" i="35"/>
  <c r="B44" i="4"/>
  <c r="F44" i="4"/>
  <c r="H44" i="4" s="1"/>
  <c r="D38" i="29"/>
  <c r="E38" i="29"/>
  <c r="H40" i="23"/>
  <c r="D41" i="27"/>
  <c r="E41" i="27"/>
  <c r="F43" i="19"/>
  <c r="H43" i="19" s="1"/>
  <c r="B43" i="19"/>
  <c r="G38" i="13"/>
  <c r="I38" i="13" s="1"/>
  <c r="D35" i="38"/>
  <c r="E35" i="38"/>
  <c r="D40" i="26"/>
  <c r="E40" i="26"/>
  <c r="D36" i="37"/>
  <c r="E36" i="37"/>
  <c r="D37" i="34"/>
  <c r="E37" i="34"/>
  <c r="G36" i="31"/>
  <c r="I36" i="31" s="1"/>
  <c r="I52" i="20"/>
  <c r="H38" i="25"/>
  <c r="I38" i="25" s="1"/>
  <c r="F45" i="3"/>
  <c r="H45" i="3" s="1"/>
  <c r="B45" i="3"/>
  <c r="F41" i="21"/>
  <c r="G41" i="21" s="1"/>
  <c r="B41" i="21"/>
  <c r="J123" i="29"/>
  <c r="E126" i="4"/>
  <c r="F126" i="4" s="1"/>
  <c r="H126" i="4" s="1"/>
  <c r="B126" i="4"/>
  <c r="I125" i="4"/>
  <c r="E125" i="18"/>
  <c r="F125" i="18" s="1"/>
  <c r="H125" i="18" s="1"/>
  <c r="J120" i="25"/>
  <c r="I124" i="18"/>
  <c r="J122" i="28"/>
  <c r="D122" i="25"/>
  <c r="G121" i="25"/>
  <c r="B119" i="35"/>
  <c r="G119" i="31"/>
  <c r="D120" i="31"/>
  <c r="I118" i="35"/>
  <c r="E122" i="26"/>
  <c r="F122" i="26" s="1"/>
  <c r="H122" i="26" s="1"/>
  <c r="B122" i="26"/>
  <c r="I121" i="26"/>
  <c r="I117" i="37"/>
  <c r="E118" i="37"/>
  <c r="F118" i="37" s="1"/>
  <c r="H118" i="37" s="1"/>
  <c r="B118" i="37"/>
  <c r="I122" i="27"/>
  <c r="I122" i="24"/>
  <c r="G124" i="29"/>
  <c r="D125" i="29"/>
  <c r="D126" i="19"/>
  <c r="G125" i="19"/>
  <c r="B119" i="38"/>
  <c r="B123" i="27"/>
  <c r="I118" i="38"/>
  <c r="I118" i="34"/>
  <c r="B119" i="34"/>
  <c r="I122" i="21"/>
  <c r="B123" i="24"/>
  <c r="J118" i="20"/>
  <c r="J125" i="3"/>
  <c r="B123" i="21"/>
  <c r="E123" i="27"/>
  <c r="F123" i="27" s="1"/>
  <c r="H123" i="27" s="1"/>
  <c r="E123" i="24"/>
  <c r="F123" i="24" s="1"/>
  <c r="H123" i="24" s="1"/>
  <c r="G122" i="22"/>
  <c r="D123" i="22"/>
  <c r="D128" i="23"/>
  <c r="G127" i="23"/>
  <c r="D120" i="20"/>
  <c r="E120" i="20" s="1"/>
  <c r="G119" i="20"/>
  <c r="D127" i="3"/>
  <c r="G126" i="3"/>
  <c r="J121" i="22"/>
  <c r="H59" i="28" l="1"/>
  <c r="G59" i="28"/>
  <c r="E60" i="28"/>
  <c r="F60" i="28" s="1"/>
  <c r="H35" i="39"/>
  <c r="E36" i="39"/>
  <c r="D36" i="39"/>
  <c r="G35" i="39"/>
  <c r="E122" i="25"/>
  <c r="F122" i="25" s="1"/>
  <c r="H122" i="25" s="1"/>
  <c r="E126" i="19"/>
  <c r="F126" i="19" s="1"/>
  <c r="H126" i="19" s="1"/>
  <c r="E127" i="3"/>
  <c r="F127" i="3" s="1"/>
  <c r="H127" i="3" s="1"/>
  <c r="B120" i="31"/>
  <c r="I118" i="39"/>
  <c r="J118" i="39" s="1"/>
  <c r="F119" i="39"/>
  <c r="H119" i="39" s="1"/>
  <c r="B119" i="39"/>
  <c r="I53" i="20"/>
  <c r="G41" i="24"/>
  <c r="I41" i="24" s="1"/>
  <c r="E42" i="24"/>
  <c r="D42" i="24"/>
  <c r="D120" i="13"/>
  <c r="G119" i="13"/>
  <c r="J118" i="35"/>
  <c r="H41" i="21"/>
  <c r="I41" i="21" s="1"/>
  <c r="I40" i="23"/>
  <c r="G45" i="3"/>
  <c r="I45" i="3" s="1"/>
  <c r="G43" i="18"/>
  <c r="I43" i="18" s="1"/>
  <c r="F41" i="27"/>
  <c r="G41" i="27" s="1"/>
  <c r="B41" i="27"/>
  <c r="F41" i="23"/>
  <c r="B41" i="23"/>
  <c r="B35" i="38"/>
  <c r="F35" i="38"/>
  <c r="G35" i="38" s="1"/>
  <c r="D41" i="22"/>
  <c r="E41" i="22"/>
  <c r="B37" i="31"/>
  <c r="F37" i="31"/>
  <c r="H37" i="31" s="1"/>
  <c r="B37" i="34"/>
  <c r="F37" i="34"/>
  <c r="G37" i="34" s="1"/>
  <c r="F37" i="35"/>
  <c r="G37" i="35" s="1"/>
  <c r="B37" i="35"/>
  <c r="F38" i="29"/>
  <c r="G38" i="29" s="1"/>
  <c r="G40" i="22"/>
  <c r="B39" i="25"/>
  <c r="F39" i="25"/>
  <c r="D42" i="21"/>
  <c r="E42" i="21"/>
  <c r="B36" i="37"/>
  <c r="F36" i="37"/>
  <c r="H36" i="37" s="1"/>
  <c r="H40" i="22"/>
  <c r="B55" i="20"/>
  <c r="G54" i="20"/>
  <c r="E55" i="20"/>
  <c r="F55" i="20" s="1"/>
  <c r="H54" i="20"/>
  <c r="B41" i="28"/>
  <c r="D44" i="19"/>
  <c r="E44" i="19"/>
  <c r="D45" i="4"/>
  <c r="E45" i="4"/>
  <c r="B39" i="13"/>
  <c r="J121" i="26"/>
  <c r="F40" i="26"/>
  <c r="G40" i="26" s="1"/>
  <c r="B40" i="26"/>
  <c r="G43" i="19"/>
  <c r="I43" i="19" s="1"/>
  <c r="G44" i="4"/>
  <c r="I44" i="4" s="1"/>
  <c r="E39" i="13"/>
  <c r="F39" i="13" s="1"/>
  <c r="J122" i="27"/>
  <c r="D46" i="3"/>
  <c r="E46" i="3"/>
  <c r="I40" i="28"/>
  <c r="D44" i="18"/>
  <c r="E44" i="18"/>
  <c r="D126" i="18"/>
  <c r="G125" i="18"/>
  <c r="J118" i="38"/>
  <c r="J117" i="37"/>
  <c r="J125" i="4"/>
  <c r="G126" i="4"/>
  <c r="D127" i="4"/>
  <c r="J124" i="18"/>
  <c r="G118" i="37"/>
  <c r="D119" i="37"/>
  <c r="I119" i="31"/>
  <c r="B124" i="28"/>
  <c r="E120" i="31"/>
  <c r="F120" i="31" s="1"/>
  <c r="H120" i="31" s="1"/>
  <c r="G122" i="26"/>
  <c r="D123" i="26"/>
  <c r="D120" i="35"/>
  <c r="G119" i="35"/>
  <c r="I121" i="25"/>
  <c r="B122" i="25"/>
  <c r="J122" i="21"/>
  <c r="D124" i="24"/>
  <c r="G123" i="24"/>
  <c r="G123" i="27"/>
  <c r="D124" i="27"/>
  <c r="I124" i="29"/>
  <c r="D120" i="38"/>
  <c r="G119" i="38"/>
  <c r="I125" i="19"/>
  <c r="J122" i="24"/>
  <c r="J118" i="34"/>
  <c r="B126" i="19"/>
  <c r="D124" i="21"/>
  <c r="G123" i="21"/>
  <c r="D120" i="34"/>
  <c r="G119" i="34"/>
  <c r="E125" i="29"/>
  <c r="F125" i="29" s="1"/>
  <c r="H125" i="29" s="1"/>
  <c r="H119" i="20"/>
  <c r="I119" i="20"/>
  <c r="B123" i="22"/>
  <c r="F120" i="20"/>
  <c r="B120" i="20"/>
  <c r="I126" i="3"/>
  <c r="I122" i="22"/>
  <c r="E128" i="23"/>
  <c r="F128" i="23" s="1"/>
  <c r="H128" i="23" s="1"/>
  <c r="B127" i="3"/>
  <c r="I127" i="23"/>
  <c r="E123" i="22"/>
  <c r="F123" i="22" s="1"/>
  <c r="H123" i="22" s="1"/>
  <c r="H60" i="28" l="1"/>
  <c r="G60" i="28"/>
  <c r="E61" i="28"/>
  <c r="F61" i="28" s="1"/>
  <c r="B36" i="39"/>
  <c r="F36" i="39"/>
  <c r="H36" i="39" s="1"/>
  <c r="I35" i="39"/>
  <c r="E124" i="24"/>
  <c r="F124" i="24" s="1"/>
  <c r="H124" i="24" s="1"/>
  <c r="E124" i="27"/>
  <c r="F124" i="27" s="1"/>
  <c r="H124" i="27" s="1"/>
  <c r="B123" i="26"/>
  <c r="E124" i="21"/>
  <c r="F124" i="21" s="1"/>
  <c r="H124" i="21" s="1"/>
  <c r="E126" i="18"/>
  <c r="F126" i="18" s="1"/>
  <c r="H126" i="18" s="1"/>
  <c r="B127" i="4"/>
  <c r="E119" i="37"/>
  <c r="F119" i="37" s="1"/>
  <c r="H119" i="37" s="1"/>
  <c r="B120" i="35"/>
  <c r="E120" i="34"/>
  <c r="F120" i="34" s="1"/>
  <c r="H120" i="34" s="1"/>
  <c r="G119" i="39"/>
  <c r="E120" i="39"/>
  <c r="D120" i="39"/>
  <c r="I40" i="22"/>
  <c r="F42" i="24"/>
  <c r="G42" i="24" s="1"/>
  <c r="B42" i="24"/>
  <c r="H119" i="13"/>
  <c r="I119" i="13"/>
  <c r="E120" i="13"/>
  <c r="F120" i="13" s="1"/>
  <c r="B120" i="13"/>
  <c r="H37" i="35"/>
  <c r="I37" i="35" s="1"/>
  <c r="H40" i="26"/>
  <c r="I40" i="26" s="1"/>
  <c r="H41" i="27"/>
  <c r="I41" i="27" s="1"/>
  <c r="D40" i="13"/>
  <c r="E40" i="13" s="1"/>
  <c r="G39" i="13"/>
  <c r="H39" i="13"/>
  <c r="B56" i="20"/>
  <c r="G55" i="20"/>
  <c r="E56" i="20"/>
  <c r="F56" i="20" s="1"/>
  <c r="H55" i="20"/>
  <c r="H38" i="29"/>
  <c r="I38" i="29" s="1"/>
  <c r="F41" i="22"/>
  <c r="G41" i="22" s="1"/>
  <c r="B41" i="22"/>
  <c r="D42" i="23"/>
  <c r="E42" i="23"/>
  <c r="F44" i="19"/>
  <c r="H44" i="19" s="1"/>
  <c r="B44" i="19"/>
  <c r="D38" i="34"/>
  <c r="E38" i="34"/>
  <c r="B42" i="21"/>
  <c r="F42" i="21"/>
  <c r="G42" i="21" s="1"/>
  <c r="D36" i="38"/>
  <c r="E36" i="38"/>
  <c r="D39" i="29"/>
  <c r="E39" i="29"/>
  <c r="B44" i="18"/>
  <c r="F44" i="18"/>
  <c r="H44" i="18" s="1"/>
  <c r="D40" i="25"/>
  <c r="E40" i="25"/>
  <c r="H39" i="25"/>
  <c r="D38" i="31"/>
  <c r="E38" i="31"/>
  <c r="H35" i="38"/>
  <c r="I35" i="38" s="1"/>
  <c r="D37" i="37"/>
  <c r="E37" i="37"/>
  <c r="G37" i="31"/>
  <c r="I37" i="31" s="1"/>
  <c r="G41" i="23"/>
  <c r="D42" i="27"/>
  <c r="E42" i="27"/>
  <c r="J119" i="20"/>
  <c r="D41" i="26"/>
  <c r="E41" i="26"/>
  <c r="G36" i="37"/>
  <c r="I36" i="37" s="1"/>
  <c r="G39" i="25"/>
  <c r="D38" i="35"/>
  <c r="E38" i="35"/>
  <c r="H41" i="23"/>
  <c r="F46" i="3"/>
  <c r="H46" i="3" s="1"/>
  <c r="B46" i="3"/>
  <c r="F45" i="4"/>
  <c r="G45" i="4" s="1"/>
  <c r="B45" i="4"/>
  <c r="I54" i="20"/>
  <c r="H37" i="34"/>
  <c r="I37" i="34" s="1"/>
  <c r="E123" i="26"/>
  <c r="F123" i="26" s="1"/>
  <c r="D124" i="26" s="1"/>
  <c r="I126" i="4"/>
  <c r="E120" i="35"/>
  <c r="F120" i="35" s="1"/>
  <c r="D121" i="35" s="1"/>
  <c r="I125" i="18"/>
  <c r="J119" i="31"/>
  <c r="E127" i="4"/>
  <c r="F127" i="4" s="1"/>
  <c r="H127" i="4" s="1"/>
  <c r="B126" i="18"/>
  <c r="I119" i="35"/>
  <c r="G122" i="25"/>
  <c r="D123" i="25"/>
  <c r="J123" i="28"/>
  <c r="I122" i="26"/>
  <c r="D121" i="31"/>
  <c r="G120" i="31"/>
  <c r="B119" i="37"/>
  <c r="J121" i="25"/>
  <c r="I118" i="37"/>
  <c r="I119" i="34"/>
  <c r="G125" i="29"/>
  <c r="D126" i="29"/>
  <c r="B120" i="34"/>
  <c r="J125" i="19"/>
  <c r="B124" i="27"/>
  <c r="J122" i="22"/>
  <c r="I119" i="38"/>
  <c r="I123" i="27"/>
  <c r="G126" i="19"/>
  <c r="D127" i="19"/>
  <c r="B120" i="38"/>
  <c r="J127" i="23"/>
  <c r="I123" i="21"/>
  <c r="E120" i="38"/>
  <c r="F120" i="38" s="1"/>
  <c r="H120" i="38" s="1"/>
  <c r="J124" i="29"/>
  <c r="I123" i="24"/>
  <c r="J126" i="3"/>
  <c r="B124" i="21"/>
  <c r="B124" i="24"/>
  <c r="D129" i="23"/>
  <c r="G128" i="23"/>
  <c r="G123" i="22"/>
  <c r="D124" i="22"/>
  <c r="G127" i="3"/>
  <c r="D128" i="3"/>
  <c r="G120" i="20"/>
  <c r="D121" i="20"/>
  <c r="H61" i="28" l="1"/>
  <c r="G61" i="28"/>
  <c r="E62" i="28"/>
  <c r="F62" i="28" s="1"/>
  <c r="G36" i="39"/>
  <c r="I36" i="39" s="1"/>
  <c r="E37" i="39"/>
  <c r="D37" i="39"/>
  <c r="H123" i="26"/>
  <c r="E127" i="19"/>
  <c r="F127" i="19" s="1"/>
  <c r="H127" i="19" s="1"/>
  <c r="E128" i="3"/>
  <c r="F128" i="3" s="1"/>
  <c r="H128" i="3" s="1"/>
  <c r="E129" i="23"/>
  <c r="F129" i="23" s="1"/>
  <c r="H129" i="23" s="1"/>
  <c r="E124" i="22"/>
  <c r="F124" i="22" s="1"/>
  <c r="H124" i="22" s="1"/>
  <c r="H120" i="35"/>
  <c r="E121" i="31"/>
  <c r="F121" i="31" s="1"/>
  <c r="H121" i="31" s="1"/>
  <c r="E126" i="29"/>
  <c r="F126" i="29" s="1"/>
  <c r="H126" i="29" s="1"/>
  <c r="I119" i="39"/>
  <c r="J119" i="39" s="1"/>
  <c r="B120" i="39"/>
  <c r="F120" i="39"/>
  <c r="H120" i="39" s="1"/>
  <c r="J119" i="13"/>
  <c r="H42" i="24"/>
  <c r="I42" i="24" s="1"/>
  <c r="E43" i="24"/>
  <c r="D43" i="24"/>
  <c r="D121" i="13"/>
  <c r="G120" i="13"/>
  <c r="G120" i="35"/>
  <c r="I55" i="20"/>
  <c r="I39" i="13"/>
  <c r="H41" i="22"/>
  <c r="I41" i="22" s="1"/>
  <c r="H45" i="4"/>
  <c r="I45" i="4" s="1"/>
  <c r="J125" i="18"/>
  <c r="G44" i="18"/>
  <c r="I44" i="18" s="1"/>
  <c r="H42" i="21"/>
  <c r="I42" i="21" s="1"/>
  <c r="G44" i="19"/>
  <c r="I44" i="19" s="1"/>
  <c r="I41" i="28"/>
  <c r="I41" i="23"/>
  <c r="D47" i="3"/>
  <c r="E47" i="3"/>
  <c r="B37" i="37"/>
  <c r="F37" i="37"/>
  <c r="G37" i="37" s="1"/>
  <c r="B41" i="26"/>
  <c r="F41" i="26"/>
  <c r="H41" i="26" s="1"/>
  <c r="F42" i="23"/>
  <c r="H42" i="23" s="1"/>
  <c r="B42" i="23"/>
  <c r="G56" i="20"/>
  <c r="B57" i="20"/>
  <c r="E57" i="20"/>
  <c r="F57" i="20" s="1"/>
  <c r="H56" i="20"/>
  <c r="J126" i="4"/>
  <c r="F40" i="25"/>
  <c r="G40" i="25" s="1"/>
  <c r="B40" i="25"/>
  <c r="F39" i="29"/>
  <c r="H39" i="29" s="1"/>
  <c r="B38" i="34"/>
  <c r="F38" i="34"/>
  <c r="H38" i="34" s="1"/>
  <c r="G123" i="26"/>
  <c r="I123" i="26" s="1"/>
  <c r="B38" i="35"/>
  <c r="F38" i="35"/>
  <c r="G38" i="35" s="1"/>
  <c r="B42" i="27"/>
  <c r="F42" i="27"/>
  <c r="D46" i="4"/>
  <c r="E46" i="4"/>
  <c r="B42" i="28"/>
  <c r="B36" i="38"/>
  <c r="F36" i="38"/>
  <c r="H36" i="38" s="1"/>
  <c r="D42" i="22"/>
  <c r="E42" i="22"/>
  <c r="G46" i="3"/>
  <c r="I46" i="3" s="1"/>
  <c r="B38" i="31"/>
  <c r="F38" i="31"/>
  <c r="G38" i="31" s="1"/>
  <c r="I39" i="25"/>
  <c r="D45" i="18"/>
  <c r="E45" i="18"/>
  <c r="D43" i="21"/>
  <c r="E43" i="21"/>
  <c r="D45" i="19"/>
  <c r="E45" i="19"/>
  <c r="B40" i="13"/>
  <c r="F40" i="13"/>
  <c r="G40" i="13" s="1"/>
  <c r="G127" i="4"/>
  <c r="D128" i="4"/>
  <c r="E121" i="35"/>
  <c r="F121" i="35" s="1"/>
  <c r="H121" i="35" s="1"/>
  <c r="J119" i="34"/>
  <c r="D127" i="18"/>
  <c r="G126" i="18"/>
  <c r="J119" i="35"/>
  <c r="J122" i="26"/>
  <c r="D120" i="37"/>
  <c r="G119" i="37"/>
  <c r="B123" i="25"/>
  <c r="B125" i="28"/>
  <c r="I122" i="25"/>
  <c r="I120" i="31"/>
  <c r="E123" i="25"/>
  <c r="F123" i="25" s="1"/>
  <c r="H123" i="25" s="1"/>
  <c r="B124" i="26"/>
  <c r="E124" i="26"/>
  <c r="F124" i="26" s="1"/>
  <c r="H124" i="26" s="1"/>
  <c r="J118" i="37"/>
  <c r="B121" i="31"/>
  <c r="B121" i="35"/>
  <c r="J123" i="21"/>
  <c r="J123" i="27"/>
  <c r="I125" i="29"/>
  <c r="I126" i="19"/>
  <c r="D125" i="21"/>
  <c r="G124" i="21"/>
  <c r="J119" i="38"/>
  <c r="G120" i="38"/>
  <c r="D121" i="38"/>
  <c r="D125" i="27"/>
  <c r="G124" i="27"/>
  <c r="G120" i="34"/>
  <c r="D121" i="34"/>
  <c r="E121" i="34"/>
  <c r="J123" i="24"/>
  <c r="D125" i="24"/>
  <c r="G124" i="24"/>
  <c r="B127" i="19"/>
  <c r="I123" i="22"/>
  <c r="I128" i="23"/>
  <c r="B121" i="20"/>
  <c r="I120" i="20"/>
  <c r="H120" i="20"/>
  <c r="I127" i="3"/>
  <c r="E121" i="20"/>
  <c r="F121" i="20" s="1"/>
  <c r="B128" i="3"/>
  <c r="B124" i="22"/>
  <c r="H62" i="28" l="1"/>
  <c r="G62" i="28"/>
  <c r="E63" i="28"/>
  <c r="F63" i="28" s="1"/>
  <c r="F37" i="39"/>
  <c r="G37" i="39" s="1"/>
  <c r="B37" i="39"/>
  <c r="E125" i="27"/>
  <c r="F125" i="27" s="1"/>
  <c r="H125" i="27" s="1"/>
  <c r="E125" i="21"/>
  <c r="F125" i="21" s="1"/>
  <c r="H125" i="21" s="1"/>
  <c r="E125" i="24"/>
  <c r="B128" i="4"/>
  <c r="E127" i="18"/>
  <c r="F127" i="18" s="1"/>
  <c r="H127" i="18" s="1"/>
  <c r="G120" i="39"/>
  <c r="D121" i="39"/>
  <c r="E121" i="39"/>
  <c r="B43" i="24"/>
  <c r="F43" i="24"/>
  <c r="H43" i="24" s="1"/>
  <c r="I120" i="35"/>
  <c r="J120" i="35" s="1"/>
  <c r="H120" i="13"/>
  <c r="I120" i="13"/>
  <c r="E121" i="13"/>
  <c r="F121" i="13" s="1"/>
  <c r="B121" i="13"/>
  <c r="G41" i="26"/>
  <c r="I41" i="26" s="1"/>
  <c r="J123" i="26"/>
  <c r="I42" i="28"/>
  <c r="G38" i="34"/>
  <c r="I38" i="34" s="1"/>
  <c r="G39" i="29"/>
  <c r="I39" i="29" s="1"/>
  <c r="H38" i="31"/>
  <c r="I38" i="31" s="1"/>
  <c r="G36" i="38"/>
  <c r="I36" i="38" s="1"/>
  <c r="H40" i="13"/>
  <c r="I40" i="13" s="1"/>
  <c r="G42" i="23"/>
  <c r="I42" i="23" s="1"/>
  <c r="D43" i="27"/>
  <c r="E43" i="27"/>
  <c r="B42" i="22"/>
  <c r="F42" i="22"/>
  <c r="H42" i="27"/>
  <c r="D41" i="25"/>
  <c r="E41" i="25"/>
  <c r="E128" i="4"/>
  <c r="F128" i="4" s="1"/>
  <c r="G128" i="4" s="1"/>
  <c r="F45" i="19"/>
  <c r="H45" i="19" s="1"/>
  <c r="B45" i="19"/>
  <c r="D39" i="34"/>
  <c r="E39" i="34"/>
  <c r="H40" i="25"/>
  <c r="I40" i="25" s="1"/>
  <c r="D38" i="37"/>
  <c r="E38" i="37"/>
  <c r="D39" i="35"/>
  <c r="E39" i="35"/>
  <c r="E43" i="23"/>
  <c r="D43" i="23"/>
  <c r="F43" i="21"/>
  <c r="B43" i="21"/>
  <c r="F46" i="4"/>
  <c r="H46" i="4" s="1"/>
  <c r="B46" i="4"/>
  <c r="H38" i="35"/>
  <c r="I38" i="35" s="1"/>
  <c r="I56" i="20"/>
  <c r="H37" i="37"/>
  <c r="I37" i="37" s="1"/>
  <c r="D39" i="31"/>
  <c r="E39" i="31"/>
  <c r="D37" i="38"/>
  <c r="E37" i="38"/>
  <c r="D40" i="29"/>
  <c r="E40" i="29"/>
  <c r="E58" i="20"/>
  <c r="F58" i="20" s="1"/>
  <c r="B58" i="20"/>
  <c r="H57" i="20"/>
  <c r="G57" i="20"/>
  <c r="D41" i="13"/>
  <c r="B45" i="18"/>
  <c r="F45" i="18"/>
  <c r="G45" i="18" s="1"/>
  <c r="G42" i="27"/>
  <c r="D42" i="26"/>
  <c r="E42" i="26"/>
  <c r="B47" i="3"/>
  <c r="F47" i="3"/>
  <c r="G47" i="3" s="1"/>
  <c r="B127" i="18"/>
  <c r="J124" i="28"/>
  <c r="I126" i="18"/>
  <c r="J126" i="19"/>
  <c r="I127" i="4"/>
  <c r="G123" i="25"/>
  <c r="D124" i="25"/>
  <c r="G121" i="31"/>
  <c r="D122" i="31"/>
  <c r="J120" i="31"/>
  <c r="I119" i="37"/>
  <c r="E120" i="37"/>
  <c r="F120" i="37" s="1"/>
  <c r="H120" i="37" s="1"/>
  <c r="B120" i="37"/>
  <c r="G121" i="35"/>
  <c r="D122" i="35"/>
  <c r="J122" i="25"/>
  <c r="J127" i="3"/>
  <c r="J128" i="23"/>
  <c r="G124" i="26"/>
  <c r="D125" i="26"/>
  <c r="I124" i="24"/>
  <c r="F121" i="34"/>
  <c r="H121" i="34" s="1"/>
  <c r="B121" i="34"/>
  <c r="I120" i="38"/>
  <c r="B121" i="38"/>
  <c r="B125" i="24"/>
  <c r="F125" i="24"/>
  <c r="H125" i="24" s="1"/>
  <c r="I120" i="34"/>
  <c r="E121" i="38"/>
  <c r="F121" i="38" s="1"/>
  <c r="H121" i="38" s="1"/>
  <c r="I124" i="21"/>
  <c r="B125" i="21"/>
  <c r="J125" i="29"/>
  <c r="D128" i="19"/>
  <c r="G127" i="19"/>
  <c r="I124" i="27"/>
  <c r="B125" i="27"/>
  <c r="D127" i="29"/>
  <c r="G126" i="29"/>
  <c r="D122" i="20"/>
  <c r="E122" i="20" s="1"/>
  <c r="G121" i="20"/>
  <c r="D125" i="22"/>
  <c r="G124" i="22"/>
  <c r="D129" i="3"/>
  <c r="G128" i="3"/>
  <c r="D130" i="23"/>
  <c r="G129" i="23"/>
  <c r="J120" i="20"/>
  <c r="J123" i="22"/>
  <c r="H37" i="39" l="1"/>
  <c r="I37" i="39" s="1"/>
  <c r="H63" i="28"/>
  <c r="G63" i="28"/>
  <c r="E64" i="28"/>
  <c r="F64" i="28" s="1"/>
  <c r="E38" i="39"/>
  <c r="D38" i="39"/>
  <c r="E128" i="19"/>
  <c r="F128" i="19" s="1"/>
  <c r="H128" i="19" s="1"/>
  <c r="E125" i="22"/>
  <c r="F125" i="22" s="1"/>
  <c r="H125" i="22" s="1"/>
  <c r="H128" i="4"/>
  <c r="E127" i="29"/>
  <c r="F127" i="29" s="1"/>
  <c r="H127" i="29" s="1"/>
  <c r="I120" i="39"/>
  <c r="B121" i="39"/>
  <c r="F121" i="39"/>
  <c r="H121" i="39" s="1"/>
  <c r="G46" i="4"/>
  <c r="I46" i="4" s="1"/>
  <c r="J120" i="13"/>
  <c r="G43" i="24"/>
  <c r="I43" i="24" s="1"/>
  <c r="D44" i="24"/>
  <c r="E44" i="24"/>
  <c r="H45" i="18"/>
  <c r="I45" i="18" s="1"/>
  <c r="G121" i="13"/>
  <c r="D122" i="13"/>
  <c r="D129" i="4"/>
  <c r="J124" i="27"/>
  <c r="I57" i="20"/>
  <c r="H47" i="3"/>
  <c r="I47" i="3" s="1"/>
  <c r="G45" i="19"/>
  <c r="I45" i="19" s="1"/>
  <c r="D44" i="21"/>
  <c r="E44" i="21"/>
  <c r="B41" i="13"/>
  <c r="F40" i="29"/>
  <c r="G40" i="29" s="1"/>
  <c r="F43" i="23"/>
  <c r="H43" i="23" s="1"/>
  <c r="B43" i="23"/>
  <c r="F39" i="34"/>
  <c r="H39" i="34" s="1"/>
  <c r="B39" i="34"/>
  <c r="E41" i="13"/>
  <c r="F41" i="13" s="1"/>
  <c r="B41" i="25"/>
  <c r="F41" i="25"/>
  <c r="G41" i="25" s="1"/>
  <c r="B42" i="26"/>
  <c r="F42" i="26"/>
  <c r="F37" i="38"/>
  <c r="B37" i="38"/>
  <c r="B43" i="28"/>
  <c r="I42" i="27"/>
  <c r="D47" i="4"/>
  <c r="E47" i="4"/>
  <c r="F39" i="35"/>
  <c r="B39" i="35"/>
  <c r="D43" i="22"/>
  <c r="E43" i="22"/>
  <c r="B39" i="31"/>
  <c r="F39" i="31"/>
  <c r="G39" i="31" s="1"/>
  <c r="G43" i="21"/>
  <c r="J126" i="18"/>
  <c r="D46" i="18"/>
  <c r="E46" i="18"/>
  <c r="H43" i="21"/>
  <c r="B38" i="37"/>
  <c r="F38" i="37"/>
  <c r="G38" i="37" s="1"/>
  <c r="H42" i="22"/>
  <c r="D48" i="3"/>
  <c r="E48" i="3"/>
  <c r="G58" i="20"/>
  <c r="H58" i="20"/>
  <c r="E59" i="20"/>
  <c r="F59" i="20" s="1"/>
  <c r="B59" i="20"/>
  <c r="D46" i="19"/>
  <c r="E46" i="19"/>
  <c r="G42" i="22"/>
  <c r="B43" i="27"/>
  <c r="F43" i="27"/>
  <c r="G43" i="27" s="1"/>
  <c r="E129" i="4"/>
  <c r="J120" i="34"/>
  <c r="J120" i="38"/>
  <c r="I128" i="4"/>
  <c r="J127" i="4"/>
  <c r="G127" i="18"/>
  <c r="D128" i="18"/>
  <c r="J124" i="24"/>
  <c r="E122" i="35"/>
  <c r="F122" i="35" s="1"/>
  <c r="H122" i="35" s="1"/>
  <c r="B122" i="35"/>
  <c r="E122" i="31"/>
  <c r="F122" i="31" s="1"/>
  <c r="H122" i="31" s="1"/>
  <c r="B122" i="31"/>
  <c r="I121" i="35"/>
  <c r="I121" i="31"/>
  <c r="B124" i="25"/>
  <c r="E125" i="26"/>
  <c r="F125" i="26" s="1"/>
  <c r="H125" i="26" s="1"/>
  <c r="B125" i="26"/>
  <c r="G120" i="37"/>
  <c r="D121" i="37"/>
  <c r="I123" i="25"/>
  <c r="I124" i="26"/>
  <c r="E124" i="25"/>
  <c r="F124" i="25" s="1"/>
  <c r="H124" i="25" s="1"/>
  <c r="J119" i="37"/>
  <c r="B126" i="28"/>
  <c r="I127" i="19"/>
  <c r="J124" i="21"/>
  <c r="B128" i="19"/>
  <c r="G121" i="38"/>
  <c r="D122" i="38"/>
  <c r="D126" i="24"/>
  <c r="G125" i="24"/>
  <c r="G125" i="27"/>
  <c r="D126" i="27"/>
  <c r="I126" i="29"/>
  <c r="D126" i="21"/>
  <c r="G125" i="21"/>
  <c r="D122" i="34"/>
  <c r="G121" i="34"/>
  <c r="I128" i="3"/>
  <c r="B129" i="3"/>
  <c r="I124" i="22"/>
  <c r="E129" i="3"/>
  <c r="F129" i="3" s="1"/>
  <c r="H129" i="3" s="1"/>
  <c r="E130" i="23"/>
  <c r="F130" i="23" s="1"/>
  <c r="H130" i="23" s="1"/>
  <c r="B125" i="22"/>
  <c r="H121" i="20"/>
  <c r="I121" i="20"/>
  <c r="I129" i="23"/>
  <c r="F122" i="20"/>
  <c r="B122" i="20"/>
  <c r="H64" i="28" l="1"/>
  <c r="G64" i="28"/>
  <c r="E65" i="28"/>
  <c r="F65" i="28" s="1"/>
  <c r="F38" i="39"/>
  <c r="G38" i="39" s="1"/>
  <c r="B38" i="39"/>
  <c r="E126" i="27"/>
  <c r="F126" i="27" s="1"/>
  <c r="H126" i="27" s="1"/>
  <c r="B129" i="4"/>
  <c r="B121" i="37"/>
  <c r="E122" i="38"/>
  <c r="F122" i="38" s="1"/>
  <c r="H122" i="38" s="1"/>
  <c r="E122" i="34"/>
  <c r="F122" i="34" s="1"/>
  <c r="H122" i="34" s="1"/>
  <c r="J120" i="39"/>
  <c r="G121" i="39"/>
  <c r="D122" i="39"/>
  <c r="E122" i="39"/>
  <c r="F44" i="24"/>
  <c r="G44" i="24" s="1"/>
  <c r="B44" i="24"/>
  <c r="F129" i="4"/>
  <c r="D130" i="4" s="1"/>
  <c r="E122" i="13"/>
  <c r="F122" i="13" s="1"/>
  <c r="B122" i="13"/>
  <c r="I121" i="13"/>
  <c r="H121" i="13"/>
  <c r="J127" i="19"/>
  <c r="J128" i="3"/>
  <c r="I43" i="28"/>
  <c r="I58" i="20"/>
  <c r="G39" i="34"/>
  <c r="I39" i="34" s="1"/>
  <c r="H41" i="25"/>
  <c r="I41" i="25" s="1"/>
  <c r="G43" i="23"/>
  <c r="I43" i="23" s="1"/>
  <c r="D42" i="13"/>
  <c r="H41" i="13"/>
  <c r="G41" i="13"/>
  <c r="B48" i="3"/>
  <c r="F48" i="3"/>
  <c r="B46" i="18"/>
  <c r="F46" i="18"/>
  <c r="B43" i="22"/>
  <c r="F43" i="22"/>
  <c r="H43" i="22" s="1"/>
  <c r="I42" i="22"/>
  <c r="D38" i="38"/>
  <c r="E38" i="38"/>
  <c r="B46" i="19"/>
  <c r="F46" i="19"/>
  <c r="H46" i="19" s="1"/>
  <c r="D40" i="35"/>
  <c r="E40" i="35"/>
  <c r="D43" i="26"/>
  <c r="E43" i="26"/>
  <c r="D39" i="37"/>
  <c r="E39" i="37"/>
  <c r="G39" i="35"/>
  <c r="H42" i="26"/>
  <c r="E44" i="23"/>
  <c r="D44" i="23"/>
  <c r="H59" i="20"/>
  <c r="E60" i="20"/>
  <c r="F60" i="20" s="1"/>
  <c r="B60" i="20"/>
  <c r="G59" i="20"/>
  <c r="D40" i="31"/>
  <c r="E40" i="31"/>
  <c r="H39" i="35"/>
  <c r="J125" i="28"/>
  <c r="D44" i="27"/>
  <c r="E44" i="27"/>
  <c r="H38" i="37"/>
  <c r="I38" i="37" s="1"/>
  <c r="G42" i="26"/>
  <c r="D41" i="29"/>
  <c r="E41" i="29"/>
  <c r="J128" i="4"/>
  <c r="H43" i="27"/>
  <c r="I43" i="27" s="1"/>
  <c r="I43" i="21"/>
  <c r="H39" i="31"/>
  <c r="I39" i="31" s="1"/>
  <c r="B47" i="4"/>
  <c r="F47" i="4"/>
  <c r="G47" i="4" s="1"/>
  <c r="G37" i="38"/>
  <c r="D42" i="25"/>
  <c r="E42" i="25"/>
  <c r="H40" i="29"/>
  <c r="I40" i="29" s="1"/>
  <c r="H37" i="38"/>
  <c r="D40" i="34"/>
  <c r="E40" i="34"/>
  <c r="B44" i="21"/>
  <c r="F44" i="21"/>
  <c r="G44" i="21" s="1"/>
  <c r="I127" i="18"/>
  <c r="J121" i="35"/>
  <c r="E128" i="18"/>
  <c r="F128" i="18" s="1"/>
  <c r="H128" i="18" s="1"/>
  <c r="B128" i="18"/>
  <c r="G124" i="25"/>
  <c r="D125" i="25"/>
  <c r="J124" i="22"/>
  <c r="I120" i="37"/>
  <c r="D123" i="31"/>
  <c r="G122" i="31"/>
  <c r="G125" i="26"/>
  <c r="D126" i="26"/>
  <c r="J124" i="26"/>
  <c r="J123" i="25"/>
  <c r="D123" i="35"/>
  <c r="G122" i="35"/>
  <c r="E121" i="37"/>
  <c r="F121" i="37" s="1"/>
  <c r="H121" i="37" s="1"/>
  <c r="J121" i="31"/>
  <c r="J129" i="23"/>
  <c r="I125" i="21"/>
  <c r="B126" i="21"/>
  <c r="D129" i="19"/>
  <c r="G128" i="19"/>
  <c r="B126" i="24"/>
  <c r="B126" i="27"/>
  <c r="I121" i="38"/>
  <c r="B122" i="38"/>
  <c r="I125" i="27"/>
  <c r="I121" i="34"/>
  <c r="B122" i="34"/>
  <c r="E126" i="24"/>
  <c r="F126" i="24" s="1"/>
  <c r="H126" i="24" s="1"/>
  <c r="E126" i="21"/>
  <c r="F126" i="21" s="1"/>
  <c r="H126" i="21" s="1"/>
  <c r="J126" i="29"/>
  <c r="I125" i="24"/>
  <c r="D128" i="29"/>
  <c r="G127" i="29"/>
  <c r="G130" i="23"/>
  <c r="D131" i="23"/>
  <c r="G129" i="3"/>
  <c r="D130" i="3"/>
  <c r="G125" i="22"/>
  <c r="D126" i="22"/>
  <c r="D123" i="20"/>
  <c r="G122" i="20"/>
  <c r="J121" i="20"/>
  <c r="H65" i="28" l="1"/>
  <c r="G65" i="28"/>
  <c r="E66" i="28"/>
  <c r="F66" i="28" s="1"/>
  <c r="H38" i="39"/>
  <c r="I38" i="39" s="1"/>
  <c r="E39" i="39"/>
  <c r="D39" i="39"/>
  <c r="E129" i="19"/>
  <c r="F129" i="19" s="1"/>
  <c r="H129" i="19" s="1"/>
  <c r="H129" i="4"/>
  <c r="E126" i="22"/>
  <c r="F126" i="22" s="1"/>
  <c r="H126" i="22" s="1"/>
  <c r="E130" i="3"/>
  <c r="F130" i="3" s="1"/>
  <c r="H130" i="3" s="1"/>
  <c r="E123" i="35"/>
  <c r="F123" i="35" s="1"/>
  <c r="H123" i="35" s="1"/>
  <c r="E128" i="29"/>
  <c r="F128" i="29" s="1"/>
  <c r="H128" i="29" s="1"/>
  <c r="B122" i="39"/>
  <c r="F122" i="39"/>
  <c r="H122" i="39" s="1"/>
  <c r="I121" i="39"/>
  <c r="G129" i="4"/>
  <c r="I129" i="4" s="1"/>
  <c r="H44" i="24"/>
  <c r="I44" i="24" s="1"/>
  <c r="D45" i="24"/>
  <c r="E45" i="24"/>
  <c r="J121" i="13"/>
  <c r="D123" i="13"/>
  <c r="G122" i="13"/>
  <c r="J121" i="34"/>
  <c r="J121" i="38"/>
  <c r="H47" i="4"/>
  <c r="I47" i="4" s="1"/>
  <c r="D45" i="21"/>
  <c r="E45" i="21"/>
  <c r="B42" i="25"/>
  <c r="F42" i="25"/>
  <c r="I42" i="26"/>
  <c r="D44" i="22"/>
  <c r="E44" i="22"/>
  <c r="D49" i="3"/>
  <c r="E49" i="3"/>
  <c r="B40" i="31"/>
  <c r="F40" i="31"/>
  <c r="D47" i="19"/>
  <c r="E47" i="19"/>
  <c r="G43" i="22"/>
  <c r="I43" i="22" s="1"/>
  <c r="H48" i="3"/>
  <c r="B44" i="27"/>
  <c r="F44" i="27"/>
  <c r="H44" i="27" s="1"/>
  <c r="B39" i="37"/>
  <c r="F39" i="37"/>
  <c r="H39" i="37" s="1"/>
  <c r="G46" i="19"/>
  <c r="I46" i="19" s="1"/>
  <c r="G48" i="3"/>
  <c r="B40" i="34"/>
  <c r="F40" i="34"/>
  <c r="D48" i="4"/>
  <c r="E48" i="4"/>
  <c r="B61" i="20"/>
  <c r="H60" i="20"/>
  <c r="G60" i="20"/>
  <c r="E61" i="20"/>
  <c r="F61" i="20" s="1"/>
  <c r="D47" i="18"/>
  <c r="E47" i="18"/>
  <c r="I37" i="38"/>
  <c r="I59" i="20"/>
  <c r="F43" i="26"/>
  <c r="G43" i="26" s="1"/>
  <c r="B43" i="26"/>
  <c r="H46" i="18"/>
  <c r="I41" i="13"/>
  <c r="J127" i="18"/>
  <c r="B44" i="28"/>
  <c r="B44" i="23"/>
  <c r="F44" i="23"/>
  <c r="H44" i="23" s="1"/>
  <c r="F38" i="38"/>
  <c r="G38" i="38" s="1"/>
  <c r="B38" i="38"/>
  <c r="G46" i="18"/>
  <c r="B42" i="13"/>
  <c r="H44" i="21"/>
  <c r="I44" i="21" s="1"/>
  <c r="F41" i="29"/>
  <c r="H41" i="29" s="1"/>
  <c r="I39" i="35"/>
  <c r="F40" i="35"/>
  <c r="H40" i="35" s="1"/>
  <c r="B40" i="35"/>
  <c r="E42" i="13"/>
  <c r="F42" i="13" s="1"/>
  <c r="B130" i="4"/>
  <c r="G128" i="18"/>
  <c r="D129" i="18"/>
  <c r="E130" i="4"/>
  <c r="F130" i="4" s="1"/>
  <c r="H130" i="4" s="1"/>
  <c r="I125" i="26"/>
  <c r="B123" i="35"/>
  <c r="I122" i="31"/>
  <c r="E123" i="31"/>
  <c r="F123" i="31" s="1"/>
  <c r="H123" i="31" s="1"/>
  <c r="B123" i="31"/>
  <c r="B127" i="28"/>
  <c r="J120" i="37"/>
  <c r="G121" i="37"/>
  <c r="D122" i="37"/>
  <c r="B126" i="26"/>
  <c r="E125" i="25"/>
  <c r="F125" i="25" s="1"/>
  <c r="H125" i="25" s="1"/>
  <c r="B125" i="25"/>
  <c r="I122" i="35"/>
  <c r="E126" i="26"/>
  <c r="F126" i="26" s="1"/>
  <c r="H126" i="26" s="1"/>
  <c r="I124" i="25"/>
  <c r="D127" i="21"/>
  <c r="G126" i="21"/>
  <c r="D127" i="24"/>
  <c r="G126" i="24"/>
  <c r="J125" i="21"/>
  <c r="B129" i="19"/>
  <c r="D127" i="27"/>
  <c r="G126" i="27"/>
  <c r="I127" i="29"/>
  <c r="J125" i="27"/>
  <c r="I128" i="19"/>
  <c r="J125" i="24"/>
  <c r="D123" i="34"/>
  <c r="G122" i="34"/>
  <c r="G122" i="38"/>
  <c r="D123" i="38"/>
  <c r="I122" i="20"/>
  <c r="H122" i="20"/>
  <c r="B123" i="20"/>
  <c r="I129" i="3"/>
  <c r="B130" i="3"/>
  <c r="B126" i="22"/>
  <c r="I125" i="22"/>
  <c r="I130" i="23"/>
  <c r="E123" i="20"/>
  <c r="F123" i="20" s="1"/>
  <c r="E131" i="23"/>
  <c r="F131" i="23" s="1"/>
  <c r="H131" i="23" s="1"/>
  <c r="H66" i="28" l="1"/>
  <c r="G66" i="28"/>
  <c r="E67" i="28"/>
  <c r="F67" i="28" s="1"/>
  <c r="B39" i="39"/>
  <c r="F39" i="39"/>
  <c r="G39" i="39"/>
  <c r="E127" i="27"/>
  <c r="F127" i="27" s="1"/>
  <c r="H127" i="27" s="1"/>
  <c r="E127" i="24"/>
  <c r="F127" i="24" s="1"/>
  <c r="H127" i="24" s="1"/>
  <c r="E127" i="21"/>
  <c r="F127" i="21" s="1"/>
  <c r="H127" i="21" s="1"/>
  <c r="B122" i="37"/>
  <c r="E123" i="38"/>
  <c r="F123" i="38" s="1"/>
  <c r="H123" i="38" s="1"/>
  <c r="E123" i="34"/>
  <c r="F123" i="34" s="1"/>
  <c r="H123" i="34" s="1"/>
  <c r="J121" i="39"/>
  <c r="G122" i="39"/>
  <c r="D123" i="39"/>
  <c r="E123" i="39"/>
  <c r="J129" i="4"/>
  <c r="J126" i="28"/>
  <c r="B45" i="24"/>
  <c r="F45" i="24"/>
  <c r="G45" i="24" s="1"/>
  <c r="H122" i="13"/>
  <c r="I122" i="13"/>
  <c r="E123" i="13"/>
  <c r="F123" i="13" s="1"/>
  <c r="B123" i="13"/>
  <c r="G39" i="37"/>
  <c r="I39" i="37" s="1"/>
  <c r="G40" i="35"/>
  <c r="I40" i="35" s="1"/>
  <c r="H38" i="38"/>
  <c r="I38" i="38" s="1"/>
  <c r="H43" i="26"/>
  <c r="I43" i="26" s="1"/>
  <c r="I60" i="20"/>
  <c r="D43" i="13"/>
  <c r="G42" i="13"/>
  <c r="H42" i="13"/>
  <c r="E45" i="23"/>
  <c r="D45" i="23"/>
  <c r="D41" i="31"/>
  <c r="E41" i="31"/>
  <c r="F48" i="4"/>
  <c r="G48" i="4" s="1"/>
  <c r="B48" i="4"/>
  <c r="D43" i="25"/>
  <c r="E43" i="25"/>
  <c r="G44" i="23"/>
  <c r="I44" i="23" s="1"/>
  <c r="I46" i="18"/>
  <c r="D41" i="34"/>
  <c r="E41" i="34"/>
  <c r="D40" i="37"/>
  <c r="E40" i="37"/>
  <c r="H40" i="31"/>
  <c r="F47" i="18"/>
  <c r="G47" i="18" s="1"/>
  <c r="B47" i="18"/>
  <c r="G40" i="31"/>
  <c r="H42" i="25"/>
  <c r="D42" i="29"/>
  <c r="E42" i="29"/>
  <c r="I44" i="28"/>
  <c r="B62" i="20"/>
  <c r="G61" i="20"/>
  <c r="H61" i="20"/>
  <c r="E62" i="20"/>
  <c r="F62" i="20" s="1"/>
  <c r="H40" i="34"/>
  <c r="I48" i="3"/>
  <c r="G42" i="25"/>
  <c r="G41" i="29"/>
  <c r="I41" i="29" s="1"/>
  <c r="G40" i="34"/>
  <c r="D45" i="27"/>
  <c r="E45" i="27"/>
  <c r="B49" i="3"/>
  <c r="F49" i="3"/>
  <c r="E122" i="37"/>
  <c r="F122" i="37" s="1"/>
  <c r="D123" i="37" s="1"/>
  <c r="D44" i="26"/>
  <c r="E44" i="26"/>
  <c r="F45" i="21"/>
  <c r="H45" i="21" s="1"/>
  <c r="B45" i="21"/>
  <c r="D41" i="35"/>
  <c r="E41" i="35"/>
  <c r="D39" i="38"/>
  <c r="E39" i="38"/>
  <c r="G44" i="27"/>
  <c r="I44" i="27" s="1"/>
  <c r="B47" i="19"/>
  <c r="F47" i="19"/>
  <c r="H47" i="19" s="1"/>
  <c r="B44" i="22"/>
  <c r="F44" i="22"/>
  <c r="D131" i="4"/>
  <c r="G130" i="4"/>
  <c r="E129" i="18"/>
  <c r="F129" i="18" s="1"/>
  <c r="H129" i="18" s="1"/>
  <c r="B129" i="18"/>
  <c r="I128" i="18"/>
  <c r="J130" i="23"/>
  <c r="J124" i="25"/>
  <c r="G123" i="31"/>
  <c r="D124" i="31"/>
  <c r="E124" i="31"/>
  <c r="J129" i="3"/>
  <c r="I121" i="37"/>
  <c r="G125" i="25"/>
  <c r="D126" i="25"/>
  <c r="J122" i="31"/>
  <c r="G123" i="35"/>
  <c r="D124" i="35"/>
  <c r="G126" i="26"/>
  <c r="D127" i="26"/>
  <c r="J125" i="26"/>
  <c r="J122" i="35"/>
  <c r="J125" i="22"/>
  <c r="I122" i="34"/>
  <c r="J127" i="29"/>
  <c r="I126" i="27"/>
  <c r="B127" i="27"/>
  <c r="I126" i="24"/>
  <c r="G129" i="19"/>
  <c r="D130" i="19"/>
  <c r="B127" i="24"/>
  <c r="B123" i="34"/>
  <c r="B123" i="38"/>
  <c r="I126" i="21"/>
  <c r="G128" i="29"/>
  <c r="D129" i="29"/>
  <c r="I122" i="38"/>
  <c r="J128" i="19"/>
  <c r="B127" i="21"/>
  <c r="G123" i="20"/>
  <c r="D124" i="20"/>
  <c r="E124" i="20" s="1"/>
  <c r="G126" i="22"/>
  <c r="D127" i="22"/>
  <c r="D132" i="23"/>
  <c r="G131" i="23"/>
  <c r="D131" i="3"/>
  <c r="G130" i="3"/>
  <c r="J122" i="20"/>
  <c r="H67" i="28" l="1"/>
  <c r="G67" i="28"/>
  <c r="E68" i="28"/>
  <c r="F68" i="28" s="1"/>
  <c r="H39" i="39"/>
  <c r="I39" i="39" s="1"/>
  <c r="D40" i="39"/>
  <c r="E40" i="39"/>
  <c r="B127" i="26"/>
  <c r="E130" i="19"/>
  <c r="F130" i="19" s="1"/>
  <c r="H130" i="19" s="1"/>
  <c r="E131" i="3"/>
  <c r="E131" i="4"/>
  <c r="F131" i="4" s="1"/>
  <c r="H131" i="4" s="1"/>
  <c r="E127" i="22"/>
  <c r="F127" i="22" s="1"/>
  <c r="H127" i="22" s="1"/>
  <c r="E123" i="37"/>
  <c r="F123" i="37" s="1"/>
  <c r="H123" i="37" s="1"/>
  <c r="H122" i="37"/>
  <c r="E124" i="35"/>
  <c r="F124" i="35" s="1"/>
  <c r="H124" i="35" s="1"/>
  <c r="E129" i="29"/>
  <c r="F129" i="29" s="1"/>
  <c r="H129" i="29" s="1"/>
  <c r="F123" i="39"/>
  <c r="H123" i="39" s="1"/>
  <c r="B123" i="39"/>
  <c r="I122" i="39"/>
  <c r="G122" i="37"/>
  <c r="I122" i="37" s="1"/>
  <c r="H47" i="18"/>
  <c r="I47" i="18" s="1"/>
  <c r="H45" i="24"/>
  <c r="I45" i="24" s="1"/>
  <c r="D46" i="24"/>
  <c r="E46" i="24"/>
  <c r="J122" i="13"/>
  <c r="D124" i="13"/>
  <c r="G123" i="13"/>
  <c r="I42" i="13"/>
  <c r="I61" i="20"/>
  <c r="G45" i="21"/>
  <c r="I45" i="21" s="1"/>
  <c r="J128" i="18"/>
  <c r="I40" i="34"/>
  <c r="I40" i="31"/>
  <c r="B43" i="25"/>
  <c r="F43" i="25"/>
  <c r="G43" i="25" s="1"/>
  <c r="D48" i="19"/>
  <c r="E48" i="19"/>
  <c r="F41" i="35"/>
  <c r="B41" i="35"/>
  <c r="D50" i="3"/>
  <c r="E50" i="3" s="1"/>
  <c r="B45" i="23"/>
  <c r="F45" i="23"/>
  <c r="G45" i="23" s="1"/>
  <c r="G49" i="3"/>
  <c r="B40" i="37"/>
  <c r="F40" i="37"/>
  <c r="H40" i="37" s="1"/>
  <c r="D45" i="22"/>
  <c r="E45" i="22"/>
  <c r="H49" i="3"/>
  <c r="F42" i="29"/>
  <c r="D49" i="4"/>
  <c r="E49" i="4"/>
  <c r="G44" i="22"/>
  <c r="G62" i="20"/>
  <c r="H62" i="20"/>
  <c r="B63" i="20"/>
  <c r="E63" i="20"/>
  <c r="F63" i="20" s="1"/>
  <c r="I42" i="25"/>
  <c r="B41" i="34"/>
  <c r="F41" i="34"/>
  <c r="H41" i="34" s="1"/>
  <c r="H48" i="4"/>
  <c r="I48" i="4" s="1"/>
  <c r="H44" i="22"/>
  <c r="B45" i="28"/>
  <c r="D46" i="21"/>
  <c r="E46" i="21"/>
  <c r="D48" i="18"/>
  <c r="E48" i="18"/>
  <c r="B43" i="13"/>
  <c r="F45" i="27"/>
  <c r="B45" i="27"/>
  <c r="E43" i="13"/>
  <c r="F43" i="13" s="1"/>
  <c r="E127" i="26"/>
  <c r="F127" i="26" s="1"/>
  <c r="H127" i="26" s="1"/>
  <c r="G47" i="19"/>
  <c r="I47" i="19" s="1"/>
  <c r="B39" i="38"/>
  <c r="F39" i="38"/>
  <c r="H39" i="38" s="1"/>
  <c r="B44" i="26"/>
  <c r="F44" i="26"/>
  <c r="G44" i="26" s="1"/>
  <c r="B41" i="31"/>
  <c r="F41" i="31"/>
  <c r="G129" i="18"/>
  <c r="D130" i="18"/>
  <c r="I130" i="4"/>
  <c r="J122" i="38"/>
  <c r="B131" i="4"/>
  <c r="I126" i="26"/>
  <c r="E126" i="25"/>
  <c r="F126" i="25" s="1"/>
  <c r="H126" i="25" s="1"/>
  <c r="B126" i="25"/>
  <c r="I125" i="25"/>
  <c r="B124" i="35"/>
  <c r="J126" i="21"/>
  <c r="I123" i="35"/>
  <c r="J121" i="37"/>
  <c r="B123" i="37"/>
  <c r="B128" i="28"/>
  <c r="B124" i="31"/>
  <c r="F124" i="31"/>
  <c r="H124" i="31" s="1"/>
  <c r="I123" i="31"/>
  <c r="J126" i="27"/>
  <c r="D124" i="34"/>
  <c r="G123" i="34"/>
  <c r="G127" i="24"/>
  <c r="D128" i="24"/>
  <c r="D124" i="38"/>
  <c r="G123" i="38"/>
  <c r="J122" i="34"/>
  <c r="I128" i="29"/>
  <c r="B130" i="19"/>
  <c r="J126" i="24"/>
  <c r="I129" i="19"/>
  <c r="D128" i="27"/>
  <c r="G127" i="27"/>
  <c r="G127" i="21"/>
  <c r="D128" i="21"/>
  <c r="I126" i="22"/>
  <c r="I131" i="23"/>
  <c r="B127" i="22"/>
  <c r="B124" i="20"/>
  <c r="F124" i="20"/>
  <c r="I130" i="3"/>
  <c r="B131" i="3"/>
  <c r="F131" i="3"/>
  <c r="H131" i="3" s="1"/>
  <c r="E132" i="23"/>
  <c r="F132" i="23" s="1"/>
  <c r="H132" i="23" s="1"/>
  <c r="H123" i="20"/>
  <c r="I123" i="20"/>
  <c r="H68" i="28" l="1"/>
  <c r="G68" i="28"/>
  <c r="E69" i="28"/>
  <c r="F69" i="28" s="1"/>
  <c r="F40" i="39"/>
  <c r="H40" i="39" s="1"/>
  <c r="B40" i="39"/>
  <c r="E128" i="27"/>
  <c r="F128" i="27" s="1"/>
  <c r="H128" i="27" s="1"/>
  <c r="E128" i="24"/>
  <c r="F128" i="24" s="1"/>
  <c r="H128" i="24" s="1"/>
  <c r="E128" i="21"/>
  <c r="F128" i="21" s="1"/>
  <c r="H128" i="21" s="1"/>
  <c r="B130" i="18"/>
  <c r="E124" i="38"/>
  <c r="F124" i="38" s="1"/>
  <c r="H124" i="38" s="1"/>
  <c r="E124" i="34"/>
  <c r="F124" i="34" s="1"/>
  <c r="H124" i="34" s="1"/>
  <c r="J122" i="39"/>
  <c r="E124" i="39"/>
  <c r="D124" i="39"/>
  <c r="G123" i="39"/>
  <c r="B46" i="24"/>
  <c r="F46" i="24"/>
  <c r="H46" i="24" s="1"/>
  <c r="H123" i="13"/>
  <c r="I123" i="13"/>
  <c r="E124" i="13"/>
  <c r="F124" i="13" s="1"/>
  <c r="B124" i="13"/>
  <c r="J130" i="4"/>
  <c r="I45" i="28"/>
  <c r="G41" i="34"/>
  <c r="I41" i="34" s="1"/>
  <c r="G39" i="38"/>
  <c r="I39" i="38" s="1"/>
  <c r="I62" i="20"/>
  <c r="D44" i="13"/>
  <c r="E44" i="13" s="1"/>
  <c r="H43" i="13"/>
  <c r="G43" i="13"/>
  <c r="D46" i="27"/>
  <c r="E46" i="27"/>
  <c r="F46" i="21"/>
  <c r="G46" i="21" s="1"/>
  <c r="B46" i="21"/>
  <c r="D42" i="35"/>
  <c r="E42" i="35"/>
  <c r="E130" i="18"/>
  <c r="F130" i="18" s="1"/>
  <c r="G130" i="18" s="1"/>
  <c r="D45" i="26"/>
  <c r="E45" i="26"/>
  <c r="G127" i="26"/>
  <c r="D128" i="26"/>
  <c r="F45" i="22"/>
  <c r="H45" i="22" s="1"/>
  <c r="B45" i="22"/>
  <c r="D46" i="23"/>
  <c r="E46" i="23"/>
  <c r="B48" i="19"/>
  <c r="F48" i="19"/>
  <c r="G48" i="19" s="1"/>
  <c r="J123" i="31"/>
  <c r="H44" i="26"/>
  <c r="I44" i="26" s="1"/>
  <c r="B49" i="4"/>
  <c r="F49" i="4"/>
  <c r="D41" i="37"/>
  <c r="E41" i="37"/>
  <c r="D42" i="31"/>
  <c r="E42" i="31"/>
  <c r="G63" i="20"/>
  <c r="B64" i="20"/>
  <c r="H63" i="20"/>
  <c r="E64" i="20"/>
  <c r="F64" i="20" s="1"/>
  <c r="D43" i="29"/>
  <c r="E43" i="29"/>
  <c r="B50" i="3"/>
  <c r="F50" i="3"/>
  <c r="H50" i="3" s="1"/>
  <c r="D44" i="25"/>
  <c r="E44" i="25"/>
  <c r="J127" i="28"/>
  <c r="H41" i="31"/>
  <c r="G45" i="27"/>
  <c r="I44" i="22"/>
  <c r="G42" i="29"/>
  <c r="G40" i="37"/>
  <c r="I40" i="37" s="1"/>
  <c r="H41" i="35"/>
  <c r="H43" i="25"/>
  <c r="I43" i="25" s="1"/>
  <c r="D40" i="38"/>
  <c r="E40" i="38"/>
  <c r="H45" i="27"/>
  <c r="B48" i="18"/>
  <c r="F48" i="18"/>
  <c r="H42" i="29"/>
  <c r="J130" i="3"/>
  <c r="J123" i="35"/>
  <c r="G41" i="31"/>
  <c r="D42" i="34"/>
  <c r="E42" i="34"/>
  <c r="I49" i="3"/>
  <c r="H45" i="23"/>
  <c r="I45" i="23" s="1"/>
  <c r="G41" i="35"/>
  <c r="J125" i="25"/>
  <c r="D132" i="4"/>
  <c r="G131" i="4"/>
  <c r="J122" i="37"/>
  <c r="I129" i="18"/>
  <c r="G124" i="31"/>
  <c r="D125" i="31"/>
  <c r="D127" i="25"/>
  <c r="G126" i="25"/>
  <c r="G123" i="37"/>
  <c r="D124" i="37"/>
  <c r="D125" i="35"/>
  <c r="G124" i="35"/>
  <c r="J126" i="26"/>
  <c r="J129" i="19"/>
  <c r="J128" i="29"/>
  <c r="I123" i="34"/>
  <c r="I123" i="38"/>
  <c r="B124" i="34"/>
  <c r="B124" i="38"/>
  <c r="I127" i="27"/>
  <c r="G129" i="29"/>
  <c r="D130" i="29"/>
  <c r="B128" i="21"/>
  <c r="B128" i="27"/>
  <c r="G130" i="19"/>
  <c r="D131" i="19"/>
  <c r="B128" i="24"/>
  <c r="J131" i="23"/>
  <c r="I127" i="21"/>
  <c r="I127" i="24"/>
  <c r="G131" i="3"/>
  <c r="D132" i="3"/>
  <c r="J123" i="20"/>
  <c r="G132" i="23"/>
  <c r="D133" i="23"/>
  <c r="D128" i="22"/>
  <c r="G127" i="22"/>
  <c r="D125" i="20"/>
  <c r="E125" i="20" s="1"/>
  <c r="G124" i="20"/>
  <c r="J126" i="22"/>
  <c r="H69" i="28" l="1"/>
  <c r="G69" i="28"/>
  <c r="E70" i="28"/>
  <c r="F70" i="28" s="1"/>
  <c r="J123" i="13"/>
  <c r="I45" i="27"/>
  <c r="G40" i="39"/>
  <c r="I40" i="39" s="1"/>
  <c r="D41" i="39"/>
  <c r="E41" i="39"/>
  <c r="E127" i="25"/>
  <c r="F127" i="25" s="1"/>
  <c r="H127" i="25" s="1"/>
  <c r="E133" i="23"/>
  <c r="H130" i="18"/>
  <c r="B124" i="39"/>
  <c r="F124" i="39"/>
  <c r="H124" i="39" s="1"/>
  <c r="I123" i="39"/>
  <c r="J123" i="39" s="1"/>
  <c r="G46" i="24"/>
  <c r="I46" i="24" s="1"/>
  <c r="E47" i="24"/>
  <c r="D47" i="24"/>
  <c r="D131" i="18"/>
  <c r="G124" i="13"/>
  <c r="D125" i="13"/>
  <c r="B125" i="13" s="1"/>
  <c r="I41" i="35"/>
  <c r="G45" i="22"/>
  <c r="I45" i="22" s="1"/>
  <c r="I63" i="20"/>
  <c r="D49" i="18"/>
  <c r="E49" i="18"/>
  <c r="B44" i="25"/>
  <c r="F44" i="25"/>
  <c r="G44" i="25" s="1"/>
  <c r="B42" i="31"/>
  <c r="F42" i="31"/>
  <c r="B46" i="28"/>
  <c r="I127" i="26"/>
  <c r="H48" i="18"/>
  <c r="D47" i="21"/>
  <c r="E47" i="21"/>
  <c r="D51" i="3"/>
  <c r="E51" i="3"/>
  <c r="F41" i="37"/>
  <c r="G41" i="37" s="1"/>
  <c r="B41" i="37"/>
  <c r="F46" i="23"/>
  <c r="G46" i="23" s="1"/>
  <c r="B46" i="23"/>
  <c r="B45" i="26"/>
  <c r="F45" i="26"/>
  <c r="H45" i="26" s="1"/>
  <c r="F42" i="34"/>
  <c r="H42" i="34" s="1"/>
  <c r="B42" i="34"/>
  <c r="G48" i="18"/>
  <c r="G50" i="3"/>
  <c r="I50" i="3" s="1"/>
  <c r="D50" i="4"/>
  <c r="E50" i="4"/>
  <c r="B46" i="27"/>
  <c r="F46" i="27"/>
  <c r="D49" i="19"/>
  <c r="E49" i="19"/>
  <c r="I41" i="31"/>
  <c r="G49" i="4"/>
  <c r="H48" i="19"/>
  <c r="I48" i="19" s="1"/>
  <c r="B42" i="35"/>
  <c r="F42" i="35"/>
  <c r="G42" i="35" s="1"/>
  <c r="I43" i="13"/>
  <c r="F40" i="38"/>
  <c r="H40" i="38" s="1"/>
  <c r="B40" i="38"/>
  <c r="F43" i="29"/>
  <c r="H43" i="29" s="1"/>
  <c r="H49" i="4"/>
  <c r="D46" i="22"/>
  <c r="E46" i="22"/>
  <c r="H46" i="21"/>
  <c r="I46" i="21" s="1"/>
  <c r="I42" i="29"/>
  <c r="E65" i="20"/>
  <c r="F65" i="20" s="1"/>
  <c r="B65" i="20"/>
  <c r="G64" i="20"/>
  <c r="H64" i="20"/>
  <c r="B128" i="26"/>
  <c r="E128" i="26"/>
  <c r="F128" i="26" s="1"/>
  <c r="H128" i="26" s="1"/>
  <c r="B44" i="13"/>
  <c r="F44" i="13"/>
  <c r="G44" i="13" s="1"/>
  <c r="I130" i="18"/>
  <c r="E131" i="18"/>
  <c r="J129" i="18"/>
  <c r="J127" i="21"/>
  <c r="I131" i="4"/>
  <c r="E132" i="4"/>
  <c r="F132" i="4" s="1"/>
  <c r="H132" i="4" s="1"/>
  <c r="B132" i="4"/>
  <c r="I126" i="25"/>
  <c r="B127" i="25"/>
  <c r="I124" i="35"/>
  <c r="B129" i="28"/>
  <c r="E125" i="35"/>
  <c r="F125" i="35" s="1"/>
  <c r="H125" i="35" s="1"/>
  <c r="B125" i="35"/>
  <c r="E124" i="37"/>
  <c r="F124" i="37" s="1"/>
  <c r="H124" i="37" s="1"/>
  <c r="B124" i="37"/>
  <c r="E125" i="31"/>
  <c r="F125" i="31" s="1"/>
  <c r="H125" i="31" s="1"/>
  <c r="B125" i="31"/>
  <c r="J123" i="38"/>
  <c r="I123" i="37"/>
  <c r="I124" i="31"/>
  <c r="J127" i="27"/>
  <c r="I129" i="29"/>
  <c r="G128" i="21"/>
  <c r="D129" i="21"/>
  <c r="G124" i="34"/>
  <c r="D125" i="34"/>
  <c r="B131" i="19"/>
  <c r="I130" i="19"/>
  <c r="J127" i="24"/>
  <c r="E131" i="19"/>
  <c r="F131" i="19" s="1"/>
  <c r="H131" i="19" s="1"/>
  <c r="D125" i="38"/>
  <c r="G124" i="38"/>
  <c r="J123" i="34"/>
  <c r="D129" i="24"/>
  <c r="G128" i="24"/>
  <c r="G128" i="27"/>
  <c r="D129" i="27"/>
  <c r="E130" i="29"/>
  <c r="F130" i="29" s="1"/>
  <c r="H130" i="29" s="1"/>
  <c r="B128" i="22"/>
  <c r="F133" i="23"/>
  <c r="H133" i="23" s="1"/>
  <c r="H124" i="20"/>
  <c r="I124" i="20"/>
  <c r="I132" i="23"/>
  <c r="B132" i="3"/>
  <c r="I127" i="22"/>
  <c r="E128" i="22"/>
  <c r="F128" i="22" s="1"/>
  <c r="H128" i="22" s="1"/>
  <c r="I131" i="3"/>
  <c r="F125" i="20"/>
  <c r="B125" i="20"/>
  <c r="E132" i="3"/>
  <c r="F132" i="3" s="1"/>
  <c r="H132" i="3" s="1"/>
  <c r="H70" i="28" l="1"/>
  <c r="G70" i="28"/>
  <c r="E71" i="28"/>
  <c r="F71" i="28" s="1"/>
  <c r="F41" i="39"/>
  <c r="H41" i="39" s="1"/>
  <c r="B41" i="39"/>
  <c r="E129" i="24"/>
  <c r="F129" i="24" s="1"/>
  <c r="H129" i="24" s="1"/>
  <c r="E129" i="21"/>
  <c r="F129" i="21" s="1"/>
  <c r="H129" i="21" s="1"/>
  <c r="E129" i="27"/>
  <c r="F129" i="27" s="1"/>
  <c r="H129" i="27" s="1"/>
  <c r="B131" i="18"/>
  <c r="E125" i="38"/>
  <c r="F125" i="38" s="1"/>
  <c r="H125" i="38" s="1"/>
  <c r="E125" i="34"/>
  <c r="F125" i="34" s="1"/>
  <c r="H125" i="34" s="1"/>
  <c r="E125" i="39"/>
  <c r="D125" i="39"/>
  <c r="G124" i="39"/>
  <c r="F131" i="18"/>
  <c r="G131" i="18" s="1"/>
  <c r="E125" i="13"/>
  <c r="F125" i="13" s="1"/>
  <c r="D126" i="13" s="1"/>
  <c r="E126" i="13" s="1"/>
  <c r="B47" i="24"/>
  <c r="F47" i="24"/>
  <c r="G47" i="24" s="1"/>
  <c r="G45" i="26"/>
  <c r="I45" i="26" s="1"/>
  <c r="J131" i="3"/>
  <c r="H124" i="13"/>
  <c r="I124" i="13"/>
  <c r="J127" i="26"/>
  <c r="J132" i="23"/>
  <c r="H44" i="13"/>
  <c r="I44" i="13" s="1"/>
  <c r="I64" i="20"/>
  <c r="I49" i="4"/>
  <c r="G40" i="38"/>
  <c r="I40" i="38" s="1"/>
  <c r="G42" i="34"/>
  <c r="I42" i="34" s="1"/>
  <c r="H46" i="23"/>
  <c r="I46" i="23" s="1"/>
  <c r="J130" i="18"/>
  <c r="H42" i="35"/>
  <c r="I42" i="35" s="1"/>
  <c r="G65" i="20"/>
  <c r="E66" i="20"/>
  <c r="F66" i="20" s="1"/>
  <c r="B66" i="20"/>
  <c r="H65" i="20"/>
  <c r="D43" i="31"/>
  <c r="E43" i="31"/>
  <c r="D44" i="29"/>
  <c r="E44" i="29"/>
  <c r="D42" i="37"/>
  <c r="E42" i="37"/>
  <c r="D47" i="27"/>
  <c r="E47" i="27"/>
  <c r="D129" i="26"/>
  <c r="G128" i="26"/>
  <c r="H46" i="27"/>
  <c r="B51" i="3"/>
  <c r="F51" i="3"/>
  <c r="H51" i="3" s="1"/>
  <c r="I46" i="28"/>
  <c r="D45" i="25"/>
  <c r="E45" i="25"/>
  <c r="F46" i="22"/>
  <c r="H46" i="22" s="1"/>
  <c r="B46" i="22"/>
  <c r="G46" i="27"/>
  <c r="H44" i="25"/>
  <c r="I44" i="25" s="1"/>
  <c r="D41" i="38"/>
  <c r="E41" i="38"/>
  <c r="D43" i="34"/>
  <c r="E43" i="34"/>
  <c r="D47" i="23"/>
  <c r="E47" i="23"/>
  <c r="B47" i="21"/>
  <c r="F47" i="21"/>
  <c r="G47" i="21" s="1"/>
  <c r="J123" i="37"/>
  <c r="G42" i="31"/>
  <c r="D45" i="13"/>
  <c r="E45" i="13" s="1"/>
  <c r="G43" i="29"/>
  <c r="I43" i="29" s="1"/>
  <c r="D43" i="35"/>
  <c r="E43" i="35"/>
  <c r="F49" i="19"/>
  <c r="H49" i="19" s="1"/>
  <c r="B49" i="19"/>
  <c r="F50" i="4"/>
  <c r="G50" i="4" s="1"/>
  <c r="B50" i="4"/>
  <c r="D46" i="26"/>
  <c r="E46" i="26"/>
  <c r="H41" i="37"/>
  <c r="I41" i="37" s="1"/>
  <c r="I48" i="18"/>
  <c r="H42" i="31"/>
  <c r="F49" i="18"/>
  <c r="H49" i="18" s="1"/>
  <c r="B49" i="18"/>
  <c r="D133" i="4"/>
  <c r="G132" i="4"/>
  <c r="J130" i="19"/>
  <c r="J131" i="4"/>
  <c r="J124" i="31"/>
  <c r="G124" i="37"/>
  <c r="D125" i="37"/>
  <c r="J124" i="35"/>
  <c r="J128" i="28"/>
  <c r="G127" i="25"/>
  <c r="D128" i="25"/>
  <c r="D126" i="35"/>
  <c r="G125" i="35"/>
  <c r="G125" i="31"/>
  <c r="D126" i="31"/>
  <c r="J126" i="25"/>
  <c r="J124" i="20"/>
  <c r="D131" i="29"/>
  <c r="G130" i="29"/>
  <c r="J129" i="29"/>
  <c r="B129" i="27"/>
  <c r="I128" i="27"/>
  <c r="I128" i="24"/>
  <c r="I124" i="38"/>
  <c r="I124" i="34"/>
  <c r="B129" i="24"/>
  <c r="B125" i="38"/>
  <c r="B129" i="21"/>
  <c r="D132" i="19"/>
  <c r="G131" i="19"/>
  <c r="B125" i="34"/>
  <c r="I128" i="21"/>
  <c r="G128" i="22"/>
  <c r="D129" i="22"/>
  <c r="D134" i="23"/>
  <c r="G133" i="23"/>
  <c r="J127" i="22"/>
  <c r="G125" i="20"/>
  <c r="D126" i="20"/>
  <c r="D133" i="3"/>
  <c r="G132" i="3"/>
  <c r="G125" i="13" l="1"/>
  <c r="H125" i="13" s="1"/>
  <c r="H71" i="28"/>
  <c r="G71" i="28"/>
  <c r="E72" i="28"/>
  <c r="F72" i="28" s="1"/>
  <c r="B126" i="13"/>
  <c r="G41" i="39"/>
  <c r="I41" i="39" s="1"/>
  <c r="E42" i="39"/>
  <c r="D42" i="39"/>
  <c r="B128" i="25"/>
  <c r="E132" i="19"/>
  <c r="F132" i="19" s="1"/>
  <c r="H132" i="19" s="1"/>
  <c r="E129" i="22"/>
  <c r="H131" i="18"/>
  <c r="E133" i="3"/>
  <c r="F133" i="3" s="1"/>
  <c r="H133" i="3" s="1"/>
  <c r="E126" i="35"/>
  <c r="F126" i="35" s="1"/>
  <c r="H126" i="35" s="1"/>
  <c r="E131" i="29"/>
  <c r="F131" i="29" s="1"/>
  <c r="H131" i="29" s="1"/>
  <c r="F126" i="13"/>
  <c r="D127" i="13" s="1"/>
  <c r="E127" i="13" s="1"/>
  <c r="I124" i="39"/>
  <c r="B125" i="39"/>
  <c r="F125" i="39"/>
  <c r="H125" i="39" s="1"/>
  <c r="D132" i="18"/>
  <c r="B132" i="18" s="1"/>
  <c r="I42" i="31"/>
  <c r="H47" i="24"/>
  <c r="I47" i="24" s="1"/>
  <c r="I125" i="13"/>
  <c r="J125" i="13" s="1"/>
  <c r="D48" i="24"/>
  <c r="E48" i="24"/>
  <c r="J124" i="13"/>
  <c r="J128" i="27"/>
  <c r="H50" i="4"/>
  <c r="I50" i="4" s="1"/>
  <c r="I65" i="20"/>
  <c r="G46" i="22"/>
  <c r="I46" i="22" s="1"/>
  <c r="I46" i="27"/>
  <c r="F47" i="23"/>
  <c r="H47" i="23" s="1"/>
  <c r="B47" i="23"/>
  <c r="B46" i="26"/>
  <c r="F46" i="26"/>
  <c r="D50" i="19"/>
  <c r="E50" i="19" s="1"/>
  <c r="B42" i="37"/>
  <c r="F42" i="37"/>
  <c r="G42" i="37" s="1"/>
  <c r="G49" i="18"/>
  <c r="I49" i="18" s="1"/>
  <c r="B47" i="28"/>
  <c r="B43" i="34"/>
  <c r="F43" i="34"/>
  <c r="H43" i="34" s="1"/>
  <c r="D47" i="22"/>
  <c r="E47" i="22"/>
  <c r="B43" i="35"/>
  <c r="F43" i="35"/>
  <c r="H43" i="35" s="1"/>
  <c r="D48" i="21"/>
  <c r="E48" i="21"/>
  <c r="I128" i="26"/>
  <c r="F44" i="29"/>
  <c r="D50" i="18"/>
  <c r="E50" i="18" s="1"/>
  <c r="B41" i="38"/>
  <c r="F41" i="38"/>
  <c r="B45" i="25"/>
  <c r="F45" i="25"/>
  <c r="E129" i="26"/>
  <c r="F129" i="26" s="1"/>
  <c r="H129" i="26" s="1"/>
  <c r="B129" i="26"/>
  <c r="D51" i="4"/>
  <c r="E51" i="4" s="1"/>
  <c r="H47" i="21"/>
  <c r="I47" i="21" s="1"/>
  <c r="G49" i="19"/>
  <c r="I49" i="19" s="1"/>
  <c r="F45" i="13"/>
  <c r="H45" i="13" s="1"/>
  <c r="B45" i="13"/>
  <c r="D52" i="3"/>
  <c r="E52" i="3"/>
  <c r="B43" i="31"/>
  <c r="F43" i="31"/>
  <c r="H43" i="31" s="1"/>
  <c r="G66" i="20"/>
  <c r="B67" i="20"/>
  <c r="E67" i="20"/>
  <c r="F67" i="20" s="1"/>
  <c r="H66" i="20"/>
  <c r="E128" i="25"/>
  <c r="F128" i="25" s="1"/>
  <c r="G128" i="25" s="1"/>
  <c r="G51" i="3"/>
  <c r="I51" i="3" s="1"/>
  <c r="B47" i="27"/>
  <c r="F47" i="27"/>
  <c r="H47" i="27" s="1"/>
  <c r="B133" i="4"/>
  <c r="E133" i="4"/>
  <c r="F133" i="4" s="1"/>
  <c r="H133" i="4" s="1"/>
  <c r="I132" i="4"/>
  <c r="I131" i="18"/>
  <c r="I127" i="25"/>
  <c r="E126" i="31"/>
  <c r="F126" i="31" s="1"/>
  <c r="H126" i="31" s="1"/>
  <c r="B126" i="31"/>
  <c r="I125" i="31"/>
  <c r="I125" i="35"/>
  <c r="B130" i="28"/>
  <c r="B126" i="35"/>
  <c r="B125" i="37"/>
  <c r="E125" i="37"/>
  <c r="F125" i="37" s="1"/>
  <c r="H125" i="37" s="1"/>
  <c r="I124" i="37"/>
  <c r="J124" i="34"/>
  <c r="J124" i="38"/>
  <c r="J128" i="21"/>
  <c r="D130" i="21"/>
  <c r="G129" i="21"/>
  <c r="I131" i="19"/>
  <c r="G125" i="38"/>
  <c r="D126" i="38"/>
  <c r="D130" i="24"/>
  <c r="G129" i="24"/>
  <c r="G129" i="27"/>
  <c r="D130" i="27"/>
  <c r="B132" i="19"/>
  <c r="I130" i="29"/>
  <c r="G125" i="34"/>
  <c r="D126" i="34"/>
  <c r="J128" i="24"/>
  <c r="B129" i="22"/>
  <c r="F129" i="22"/>
  <c r="H129" i="22" s="1"/>
  <c r="H125" i="20"/>
  <c r="I125" i="20"/>
  <c r="I128" i="22"/>
  <c r="B126" i="20"/>
  <c r="E134" i="23"/>
  <c r="F134" i="23" s="1"/>
  <c r="H134" i="23" s="1"/>
  <c r="I132" i="3"/>
  <c r="E126" i="20"/>
  <c r="F126" i="20" s="1"/>
  <c r="B133" i="3"/>
  <c r="I133" i="23"/>
  <c r="H72" i="28" l="1"/>
  <c r="G72" i="28"/>
  <c r="E73" i="28"/>
  <c r="F73" i="28" s="1"/>
  <c r="B42" i="39"/>
  <c r="F42" i="39"/>
  <c r="G42" i="39" s="1"/>
  <c r="G126" i="13"/>
  <c r="H126" i="13" s="1"/>
  <c r="E130" i="24"/>
  <c r="F130" i="24" s="1"/>
  <c r="H130" i="24" s="1"/>
  <c r="E130" i="27"/>
  <c r="F130" i="27" s="1"/>
  <c r="H130" i="27" s="1"/>
  <c r="E130" i="21"/>
  <c r="F130" i="21" s="1"/>
  <c r="H130" i="21" s="1"/>
  <c r="H128" i="25"/>
  <c r="E132" i="18"/>
  <c r="F132" i="18" s="1"/>
  <c r="E126" i="38"/>
  <c r="F126" i="38" s="1"/>
  <c r="H126" i="38" s="1"/>
  <c r="E126" i="34"/>
  <c r="F126" i="34" s="1"/>
  <c r="H126" i="34" s="1"/>
  <c r="J124" i="39"/>
  <c r="D129" i="25"/>
  <c r="E129" i="25" s="1"/>
  <c r="G125" i="39"/>
  <c r="D126" i="39"/>
  <c r="E126" i="39" s="1"/>
  <c r="F48" i="24"/>
  <c r="G48" i="24" s="1"/>
  <c r="B48" i="24"/>
  <c r="G47" i="23"/>
  <c r="I47" i="23" s="1"/>
  <c r="G43" i="34"/>
  <c r="I43" i="34" s="1"/>
  <c r="I47" i="28"/>
  <c r="G43" i="31"/>
  <c r="I43" i="31" s="1"/>
  <c r="J132" i="4"/>
  <c r="G45" i="13"/>
  <c r="I45" i="13" s="1"/>
  <c r="I66" i="20"/>
  <c r="D42" i="38"/>
  <c r="E42" i="38"/>
  <c r="D45" i="29"/>
  <c r="E45" i="29"/>
  <c r="J131" i="19"/>
  <c r="G67" i="20"/>
  <c r="B68" i="20"/>
  <c r="H67" i="20"/>
  <c r="E68" i="20"/>
  <c r="F68" i="20" s="1"/>
  <c r="B52" i="3"/>
  <c r="F52" i="3"/>
  <c r="B51" i="4"/>
  <c r="F51" i="4"/>
  <c r="G41" i="38"/>
  <c r="J128" i="26"/>
  <c r="D43" i="37"/>
  <c r="E43" i="37"/>
  <c r="J131" i="18"/>
  <c r="D48" i="27"/>
  <c r="E48" i="27"/>
  <c r="D130" i="26"/>
  <c r="G129" i="26"/>
  <c r="H41" i="38"/>
  <c r="D46" i="25"/>
  <c r="E46" i="25"/>
  <c r="B48" i="21"/>
  <c r="F48" i="21"/>
  <c r="F47" i="22"/>
  <c r="G47" i="22" s="1"/>
  <c r="B47" i="22"/>
  <c r="B50" i="19"/>
  <c r="F50" i="19"/>
  <c r="G50" i="19" s="1"/>
  <c r="G47" i="27"/>
  <c r="I47" i="27" s="1"/>
  <c r="D46" i="13"/>
  <c r="E46" i="13" s="1"/>
  <c r="H45" i="25"/>
  <c r="B50" i="18"/>
  <c r="F50" i="18"/>
  <c r="H50" i="18" s="1"/>
  <c r="D44" i="35"/>
  <c r="E44" i="35"/>
  <c r="D47" i="26"/>
  <c r="E47" i="26"/>
  <c r="D48" i="23"/>
  <c r="E48" i="23" s="1"/>
  <c r="D44" i="31"/>
  <c r="E44" i="31"/>
  <c r="H44" i="29"/>
  <c r="G46" i="26"/>
  <c r="G45" i="25"/>
  <c r="G44" i="29"/>
  <c r="G43" i="35"/>
  <c r="I43" i="35" s="1"/>
  <c r="D44" i="34"/>
  <c r="E44" i="34"/>
  <c r="H42" i="37"/>
  <c r="I42" i="37" s="1"/>
  <c r="H46" i="26"/>
  <c r="J125" i="31"/>
  <c r="D134" i="4"/>
  <c r="G133" i="4"/>
  <c r="J133" i="23"/>
  <c r="D126" i="37"/>
  <c r="G125" i="37"/>
  <c r="J130" i="29"/>
  <c r="G126" i="35"/>
  <c r="D127" i="35"/>
  <c r="J125" i="20"/>
  <c r="J124" i="37"/>
  <c r="G126" i="31"/>
  <c r="D127" i="31"/>
  <c r="I128" i="25"/>
  <c r="J129" i="28"/>
  <c r="J125" i="35"/>
  <c r="J127" i="25"/>
  <c r="B130" i="27"/>
  <c r="I129" i="27"/>
  <c r="B126" i="34"/>
  <c r="I125" i="38"/>
  <c r="D132" i="29"/>
  <c r="G131" i="29"/>
  <c r="I125" i="34"/>
  <c r="I129" i="24"/>
  <c r="J128" i="22"/>
  <c r="D133" i="19"/>
  <c r="G132" i="19"/>
  <c r="B130" i="24"/>
  <c r="I129" i="21"/>
  <c r="B127" i="13"/>
  <c r="F127" i="13"/>
  <c r="B130" i="21"/>
  <c r="B126" i="38"/>
  <c r="G126" i="20"/>
  <c r="D127" i="20"/>
  <c r="E127" i="20" s="1"/>
  <c r="D135" i="23"/>
  <c r="G134" i="23"/>
  <c r="G133" i="3"/>
  <c r="D134" i="3"/>
  <c r="D130" i="22"/>
  <c r="G129" i="22"/>
  <c r="J132" i="3"/>
  <c r="H42" i="39" l="1"/>
  <c r="H73" i="28"/>
  <c r="G73" i="28"/>
  <c r="I126" i="13"/>
  <c r="I42" i="39"/>
  <c r="D43" i="39"/>
  <c r="E43" i="39"/>
  <c r="B129" i="25"/>
  <c r="E133" i="19"/>
  <c r="F133" i="19" s="1"/>
  <c r="H133" i="19" s="1"/>
  <c r="F129" i="25"/>
  <c r="H129" i="25" s="1"/>
  <c r="G132" i="18"/>
  <c r="I132" i="18" s="1"/>
  <c r="H132" i="18"/>
  <c r="D133" i="18"/>
  <c r="B133" i="18" s="1"/>
  <c r="E135" i="23"/>
  <c r="F135" i="23" s="1"/>
  <c r="H135" i="23" s="1"/>
  <c r="E126" i="37"/>
  <c r="F126" i="37" s="1"/>
  <c r="H126" i="37" s="1"/>
  <c r="I125" i="39"/>
  <c r="B126" i="39"/>
  <c r="F126" i="39"/>
  <c r="H126" i="39" s="1"/>
  <c r="H48" i="24"/>
  <c r="I48" i="24" s="1"/>
  <c r="D49" i="24"/>
  <c r="E49" i="24"/>
  <c r="J125" i="34"/>
  <c r="H50" i="19"/>
  <c r="I50" i="19" s="1"/>
  <c r="I41" i="38"/>
  <c r="I46" i="26"/>
  <c r="F48" i="23"/>
  <c r="G48" i="23" s="1"/>
  <c r="B48" i="23"/>
  <c r="D49" i="21"/>
  <c r="E49" i="21"/>
  <c r="I129" i="26"/>
  <c r="D52" i="4"/>
  <c r="E52" i="4" s="1"/>
  <c r="I45" i="25"/>
  <c r="E130" i="26"/>
  <c r="F130" i="26" s="1"/>
  <c r="H130" i="26" s="1"/>
  <c r="B130" i="26"/>
  <c r="F47" i="26"/>
  <c r="B47" i="26"/>
  <c r="D53" i="3"/>
  <c r="E53" i="3" s="1"/>
  <c r="F46" i="13"/>
  <c r="B46" i="13"/>
  <c r="F46" i="25"/>
  <c r="G46" i="25" s="1"/>
  <c r="B46" i="25"/>
  <c r="B48" i="27"/>
  <c r="F48" i="27"/>
  <c r="G48" i="27" s="1"/>
  <c r="B43" i="37"/>
  <c r="F43" i="37"/>
  <c r="H43" i="37" s="1"/>
  <c r="G52" i="3"/>
  <c r="I44" i="29"/>
  <c r="F44" i="35"/>
  <c r="G44" i="35" s="1"/>
  <c r="B44" i="35"/>
  <c r="D48" i="22"/>
  <c r="E48" i="22"/>
  <c r="G50" i="18"/>
  <c r="I50" i="18" s="1"/>
  <c r="H47" i="22"/>
  <c r="I47" i="22" s="1"/>
  <c r="H52" i="3"/>
  <c r="F45" i="29"/>
  <c r="H45" i="29" s="1"/>
  <c r="F44" i="34"/>
  <c r="H44" i="34" s="1"/>
  <c r="B44" i="34"/>
  <c r="B44" i="31"/>
  <c r="F44" i="31"/>
  <c r="G44" i="31" s="1"/>
  <c r="D51" i="19"/>
  <c r="E51" i="19" s="1"/>
  <c r="H48" i="21"/>
  <c r="B48" i="28"/>
  <c r="H51" i="4"/>
  <c r="E69" i="20"/>
  <c r="F69" i="20" s="1"/>
  <c r="G68" i="20"/>
  <c r="H68" i="20"/>
  <c r="B69" i="20"/>
  <c r="J125" i="38"/>
  <c r="D51" i="18"/>
  <c r="E51" i="18" s="1"/>
  <c r="G48" i="21"/>
  <c r="G51" i="4"/>
  <c r="I67" i="20"/>
  <c r="F42" i="38"/>
  <c r="G42" i="38" s="1"/>
  <c r="B42" i="38"/>
  <c r="E134" i="4"/>
  <c r="F134" i="4" s="1"/>
  <c r="H134" i="4" s="1"/>
  <c r="B134" i="4"/>
  <c r="I133" i="4"/>
  <c r="E127" i="31"/>
  <c r="F127" i="31" s="1"/>
  <c r="H127" i="31" s="1"/>
  <c r="B127" i="31"/>
  <c r="I126" i="35"/>
  <c r="I126" i="31"/>
  <c r="D130" i="25"/>
  <c r="G129" i="25"/>
  <c r="I125" i="37"/>
  <c r="B126" i="37"/>
  <c r="J128" i="25"/>
  <c r="E127" i="35"/>
  <c r="F127" i="35" s="1"/>
  <c r="H127" i="35" s="1"/>
  <c r="B127" i="35"/>
  <c r="B131" i="28"/>
  <c r="J129" i="24"/>
  <c r="J129" i="27"/>
  <c r="G127" i="13"/>
  <c r="D128" i="13"/>
  <c r="E128" i="13" s="1"/>
  <c r="I132" i="19"/>
  <c r="B133" i="19"/>
  <c r="D127" i="34"/>
  <c r="G126" i="34"/>
  <c r="D131" i="21"/>
  <c r="G130" i="21"/>
  <c r="J129" i="21"/>
  <c r="D127" i="38"/>
  <c r="G126" i="38"/>
  <c r="E132" i="29"/>
  <c r="F132" i="29" s="1"/>
  <c r="H132" i="29" s="1"/>
  <c r="J126" i="13"/>
  <c r="D131" i="24"/>
  <c r="G130" i="24"/>
  <c r="I131" i="29"/>
  <c r="G130" i="27"/>
  <c r="D131" i="27"/>
  <c r="I133" i="3"/>
  <c r="B134" i="3"/>
  <c r="I134" i="23"/>
  <c r="B130" i="22"/>
  <c r="I129" i="22"/>
  <c r="F127" i="20"/>
  <c r="B127" i="20"/>
  <c r="E130" i="22"/>
  <c r="F130" i="22" s="1"/>
  <c r="H130" i="22" s="1"/>
  <c r="E134" i="3"/>
  <c r="F134" i="3" s="1"/>
  <c r="H134" i="3" s="1"/>
  <c r="H126" i="20"/>
  <c r="I126" i="20"/>
  <c r="E133" i="18" l="1"/>
  <c r="B43" i="39"/>
  <c r="F43" i="39"/>
  <c r="G43" i="39" s="1"/>
  <c r="F133" i="18"/>
  <c r="G133" i="18" s="1"/>
  <c r="E131" i="24"/>
  <c r="F131" i="24" s="1"/>
  <c r="H131" i="24" s="1"/>
  <c r="E127" i="38"/>
  <c r="F127" i="38" s="1"/>
  <c r="H127" i="38" s="1"/>
  <c r="J125" i="39"/>
  <c r="E127" i="39"/>
  <c r="G126" i="39"/>
  <c r="D127" i="39"/>
  <c r="F49" i="24"/>
  <c r="H49" i="24" s="1"/>
  <c r="B49" i="24"/>
  <c r="J126" i="35"/>
  <c r="J126" i="31"/>
  <c r="H44" i="31"/>
  <c r="I44" i="31" s="1"/>
  <c r="G45" i="29"/>
  <c r="I45" i="29" s="1"/>
  <c r="H44" i="35"/>
  <c r="I44" i="35" s="1"/>
  <c r="I68" i="20"/>
  <c r="I51" i="4"/>
  <c r="I48" i="28"/>
  <c r="H46" i="25"/>
  <c r="I46" i="25" s="1"/>
  <c r="J132" i="18"/>
  <c r="H48" i="23"/>
  <c r="I48" i="23" s="1"/>
  <c r="G130" i="26"/>
  <c r="D131" i="26"/>
  <c r="J133" i="3"/>
  <c r="G69" i="20"/>
  <c r="H69" i="20"/>
  <c r="B70" i="20"/>
  <c r="E70" i="20"/>
  <c r="F70" i="20" s="1"/>
  <c r="D47" i="13"/>
  <c r="E47" i="13" s="1"/>
  <c r="B51" i="19"/>
  <c r="F51" i="19"/>
  <c r="H51" i="19" s="1"/>
  <c r="D45" i="34"/>
  <c r="E45" i="34"/>
  <c r="B48" i="22"/>
  <c r="F48" i="22"/>
  <c r="G48" i="22" s="1"/>
  <c r="D44" i="37"/>
  <c r="E44" i="37"/>
  <c r="F53" i="3"/>
  <c r="H53" i="3" s="1"/>
  <c r="B53" i="3"/>
  <c r="B49" i="21"/>
  <c r="F49" i="21"/>
  <c r="H49" i="21" s="1"/>
  <c r="B51" i="18"/>
  <c r="F51" i="18"/>
  <c r="G51" i="18" s="1"/>
  <c r="D46" i="29"/>
  <c r="E46" i="29"/>
  <c r="D43" i="38"/>
  <c r="E43" i="38"/>
  <c r="D45" i="31"/>
  <c r="E45" i="31"/>
  <c r="G43" i="37"/>
  <c r="I43" i="37" s="1"/>
  <c r="D47" i="25"/>
  <c r="E47" i="25"/>
  <c r="D48" i="26"/>
  <c r="E48" i="26"/>
  <c r="F52" i="4"/>
  <c r="H52" i="4" s="1"/>
  <c r="B52" i="4"/>
  <c r="H42" i="38"/>
  <c r="I42" i="38" s="1"/>
  <c r="I52" i="3"/>
  <c r="H47" i="26"/>
  <c r="J132" i="19"/>
  <c r="G44" i="34"/>
  <c r="I44" i="34" s="1"/>
  <c r="D45" i="35"/>
  <c r="E45" i="35"/>
  <c r="D49" i="27"/>
  <c r="E49" i="27"/>
  <c r="G46" i="13"/>
  <c r="G47" i="26"/>
  <c r="D49" i="23"/>
  <c r="E49" i="23" s="1"/>
  <c r="I48" i="21"/>
  <c r="H48" i="27"/>
  <c r="I48" i="27" s="1"/>
  <c r="H46" i="13"/>
  <c r="J129" i="26"/>
  <c r="G134" i="4"/>
  <c r="D135" i="4"/>
  <c r="J130" i="28"/>
  <c r="J133" i="4"/>
  <c r="D128" i="35"/>
  <c r="G127" i="35"/>
  <c r="I129" i="25"/>
  <c r="E130" i="25"/>
  <c r="F130" i="25" s="1"/>
  <c r="H130" i="25" s="1"/>
  <c r="B130" i="25"/>
  <c r="G126" i="37"/>
  <c r="D127" i="37"/>
  <c r="J125" i="37"/>
  <c r="D128" i="31"/>
  <c r="G127" i="31"/>
  <c r="G132" i="29"/>
  <c r="D133" i="29"/>
  <c r="B127" i="34"/>
  <c r="I127" i="13"/>
  <c r="H127" i="13"/>
  <c r="I126" i="34"/>
  <c r="B131" i="24"/>
  <c r="D134" i="19"/>
  <c r="G133" i="19"/>
  <c r="I130" i="24"/>
  <c r="B127" i="38"/>
  <c r="B131" i="21"/>
  <c r="B128" i="13"/>
  <c r="F128" i="13"/>
  <c r="B131" i="27"/>
  <c r="J131" i="29"/>
  <c r="J156" i="29" s="1"/>
  <c r="E131" i="21"/>
  <c r="F131" i="21" s="1"/>
  <c r="H131" i="21" s="1"/>
  <c r="E131" i="27"/>
  <c r="F131" i="27" s="1"/>
  <c r="H131" i="27" s="1"/>
  <c r="I126" i="38"/>
  <c r="I130" i="27"/>
  <c r="I130" i="21"/>
  <c r="E127" i="34"/>
  <c r="F127" i="34" s="1"/>
  <c r="H127" i="34" s="1"/>
  <c r="G130" i="22"/>
  <c r="D131" i="22"/>
  <c r="D135" i="3"/>
  <c r="G134" i="3"/>
  <c r="D136" i="23"/>
  <c r="G135" i="23"/>
  <c r="J134" i="23"/>
  <c r="J129" i="22"/>
  <c r="G127" i="20"/>
  <c r="D128" i="20"/>
  <c r="J126" i="20"/>
  <c r="H133" i="18" l="1"/>
  <c r="D134" i="18"/>
  <c r="H43" i="39"/>
  <c r="I43" i="39" s="1"/>
  <c r="E44" i="39"/>
  <c r="D44" i="39"/>
  <c r="E134" i="19"/>
  <c r="F134" i="19" s="1"/>
  <c r="H134" i="19" s="1"/>
  <c r="E136" i="23"/>
  <c r="F136" i="23" s="1"/>
  <c r="H136" i="23" s="1"/>
  <c r="E135" i="3"/>
  <c r="F135" i="3" s="1"/>
  <c r="H135" i="3" s="1"/>
  <c r="B128" i="35"/>
  <c r="E133" i="29"/>
  <c r="F133" i="29" s="1"/>
  <c r="H133" i="29" s="1"/>
  <c r="F127" i="39"/>
  <c r="H127" i="39" s="1"/>
  <c r="B127" i="39"/>
  <c r="I126" i="39"/>
  <c r="G49" i="24"/>
  <c r="I49" i="24" s="1"/>
  <c r="D50" i="24"/>
  <c r="J126" i="38"/>
  <c r="G53" i="3"/>
  <c r="I53" i="3" s="1"/>
  <c r="G49" i="21"/>
  <c r="I49" i="21" s="1"/>
  <c r="I69" i="20"/>
  <c r="H48" i="22"/>
  <c r="I48" i="22" s="1"/>
  <c r="B43" i="38"/>
  <c r="F43" i="38"/>
  <c r="G43" i="38" s="1"/>
  <c r="B45" i="34"/>
  <c r="F45" i="34"/>
  <c r="F48" i="26"/>
  <c r="H48" i="26" s="1"/>
  <c r="B48" i="26"/>
  <c r="B44" i="37"/>
  <c r="F44" i="37"/>
  <c r="G44" i="37" s="1"/>
  <c r="B49" i="28"/>
  <c r="F46" i="29"/>
  <c r="D52" i="19"/>
  <c r="E52" i="19" s="1"/>
  <c r="B47" i="25"/>
  <c r="F47" i="25"/>
  <c r="H47" i="25" s="1"/>
  <c r="D52" i="18"/>
  <c r="E52" i="18" s="1"/>
  <c r="D49" i="22"/>
  <c r="E49" i="22"/>
  <c r="G51" i="19"/>
  <c r="I51" i="19" s="1"/>
  <c r="I46" i="13"/>
  <c r="F49" i="27"/>
  <c r="B49" i="27"/>
  <c r="B45" i="35"/>
  <c r="F45" i="35"/>
  <c r="G45" i="35" s="1"/>
  <c r="I47" i="26"/>
  <c r="D53" i="4"/>
  <c r="E53" i="4" s="1"/>
  <c r="F45" i="31"/>
  <c r="G45" i="31" s="1"/>
  <c r="B45" i="31"/>
  <c r="H51" i="18"/>
  <c r="I51" i="18" s="1"/>
  <c r="D54" i="3"/>
  <c r="E54" i="3" s="1"/>
  <c r="F47" i="13"/>
  <c r="G47" i="13" s="1"/>
  <c r="B47" i="13"/>
  <c r="E131" i="26"/>
  <c r="F131" i="26" s="1"/>
  <c r="H131" i="26" s="1"/>
  <c r="B131" i="26"/>
  <c r="B49" i="23"/>
  <c r="F49" i="23"/>
  <c r="H49" i="23" s="1"/>
  <c r="G52" i="4"/>
  <c r="I52" i="4" s="1"/>
  <c r="D50" i="21"/>
  <c r="E50" i="21" s="1"/>
  <c r="B71" i="20"/>
  <c r="H70" i="20"/>
  <c r="G70" i="20"/>
  <c r="E71" i="20"/>
  <c r="F71" i="20" s="1"/>
  <c r="I130" i="26"/>
  <c r="E135" i="4"/>
  <c r="F135" i="4" s="1"/>
  <c r="H135" i="4" s="1"/>
  <c r="B135" i="4"/>
  <c r="I134" i="4"/>
  <c r="I133" i="18"/>
  <c r="E128" i="35"/>
  <c r="F128" i="35" s="1"/>
  <c r="H128" i="35" s="1"/>
  <c r="E134" i="18"/>
  <c r="F134" i="18" s="1"/>
  <c r="H134" i="18" s="1"/>
  <c r="B134" i="18"/>
  <c r="B128" i="31"/>
  <c r="D131" i="25"/>
  <c r="G130" i="25"/>
  <c r="J126" i="34"/>
  <c r="B127" i="37"/>
  <c r="E127" i="37"/>
  <c r="F127" i="37" s="1"/>
  <c r="H127" i="37" s="1"/>
  <c r="I126" i="37"/>
  <c r="J129" i="25"/>
  <c r="B132" i="28"/>
  <c r="I127" i="31"/>
  <c r="I127" i="35"/>
  <c r="E128" i="31"/>
  <c r="F128" i="31" s="1"/>
  <c r="H128" i="31" s="1"/>
  <c r="J130" i="27"/>
  <c r="D128" i="34"/>
  <c r="G127" i="34"/>
  <c r="D132" i="27"/>
  <c r="G131" i="27"/>
  <c r="G131" i="21"/>
  <c r="D132" i="21"/>
  <c r="I133" i="19"/>
  <c r="J130" i="21"/>
  <c r="G131" i="24"/>
  <c r="D132" i="24"/>
  <c r="B134" i="19"/>
  <c r="J127" i="13"/>
  <c r="I132" i="29"/>
  <c r="G127" i="38"/>
  <c r="D128" i="38"/>
  <c r="D129" i="13"/>
  <c r="G128" i="13"/>
  <c r="J130" i="24"/>
  <c r="B135" i="3"/>
  <c r="I134" i="3"/>
  <c r="B128" i="20"/>
  <c r="B131" i="22"/>
  <c r="I127" i="20"/>
  <c r="H127" i="20"/>
  <c r="E131" i="22"/>
  <c r="F131" i="22" s="1"/>
  <c r="H131" i="22" s="1"/>
  <c r="E128" i="20"/>
  <c r="F128" i="20" s="1"/>
  <c r="I135" i="23"/>
  <c r="I130" i="22"/>
  <c r="F44" i="39" l="1"/>
  <c r="G44" i="39" s="1"/>
  <c r="B44" i="39"/>
  <c r="E132" i="27"/>
  <c r="F132" i="27" s="1"/>
  <c r="H132" i="27" s="1"/>
  <c r="E131" i="25"/>
  <c r="F131" i="25" s="1"/>
  <c r="H131" i="25" s="1"/>
  <c r="E132" i="24"/>
  <c r="F132" i="24" s="1"/>
  <c r="H132" i="24" s="1"/>
  <c r="E128" i="34"/>
  <c r="F128" i="34" s="1"/>
  <c r="H128" i="34" s="1"/>
  <c r="J126" i="39"/>
  <c r="D128" i="39"/>
  <c r="E128" i="39" s="1"/>
  <c r="G127" i="39"/>
  <c r="E50" i="24"/>
  <c r="F50" i="24" s="1"/>
  <c r="G50" i="24" s="1"/>
  <c r="B50" i="24"/>
  <c r="I49" i="28"/>
  <c r="H47" i="13"/>
  <c r="I47" i="13" s="1"/>
  <c r="G49" i="23"/>
  <c r="I49" i="23" s="1"/>
  <c r="J130" i="26"/>
  <c r="J131" i="28"/>
  <c r="G48" i="26"/>
  <c r="I48" i="26" s="1"/>
  <c r="H45" i="31"/>
  <c r="I45" i="31" s="1"/>
  <c r="H43" i="38"/>
  <c r="I43" i="38" s="1"/>
  <c r="G131" i="26"/>
  <c r="D132" i="26"/>
  <c r="E132" i="26" s="1"/>
  <c r="F50" i="21"/>
  <c r="H50" i="21" s="1"/>
  <c r="B50" i="21"/>
  <c r="D46" i="35"/>
  <c r="E46" i="35"/>
  <c r="D50" i="27"/>
  <c r="E50" i="27" s="1"/>
  <c r="D47" i="29"/>
  <c r="E47" i="29" s="1"/>
  <c r="D46" i="34"/>
  <c r="E46" i="34"/>
  <c r="D48" i="25"/>
  <c r="E48" i="25" s="1"/>
  <c r="D45" i="37"/>
  <c r="E45" i="37"/>
  <c r="G45" i="34"/>
  <c r="J133" i="18"/>
  <c r="G71" i="20"/>
  <c r="B72" i="20"/>
  <c r="E72" i="20"/>
  <c r="F72" i="20" s="1"/>
  <c r="H71" i="20"/>
  <c r="D50" i="23"/>
  <c r="E50" i="23" s="1"/>
  <c r="D46" i="31"/>
  <c r="E46" i="31"/>
  <c r="H44" i="37"/>
  <c r="I44" i="37" s="1"/>
  <c r="H45" i="34"/>
  <c r="D48" i="13"/>
  <c r="E48" i="13" s="1"/>
  <c r="F49" i="22"/>
  <c r="H49" i="22" s="1"/>
  <c r="B49" i="22"/>
  <c r="J134" i="4"/>
  <c r="I70" i="20"/>
  <c r="B53" i="4"/>
  <c r="F53" i="4"/>
  <c r="H53" i="4" s="1"/>
  <c r="F52" i="19"/>
  <c r="G52" i="19" s="1"/>
  <c r="B52" i="19"/>
  <c r="B54" i="3"/>
  <c r="F54" i="3"/>
  <c r="H54" i="3" s="1"/>
  <c r="H49" i="27"/>
  <c r="B52" i="18"/>
  <c r="F52" i="18"/>
  <c r="H52" i="18" s="1"/>
  <c r="G46" i="29"/>
  <c r="D44" i="38"/>
  <c r="E44" i="38"/>
  <c r="H45" i="35"/>
  <c r="I45" i="35" s="1"/>
  <c r="G49" i="27"/>
  <c r="G47" i="25"/>
  <c r="I47" i="25" s="1"/>
  <c r="H46" i="29"/>
  <c r="D49" i="26"/>
  <c r="E49" i="26" s="1"/>
  <c r="D129" i="35"/>
  <c r="G128" i="35"/>
  <c r="J126" i="37"/>
  <c r="D135" i="18"/>
  <c r="G134" i="18"/>
  <c r="G135" i="4"/>
  <c r="D136" i="4"/>
  <c r="D129" i="31"/>
  <c r="G128" i="31"/>
  <c r="G127" i="37"/>
  <c r="D128" i="37"/>
  <c r="J127" i="31"/>
  <c r="I130" i="25"/>
  <c r="B131" i="25"/>
  <c r="J127" i="35"/>
  <c r="J127" i="20"/>
  <c r="I131" i="21"/>
  <c r="B129" i="13"/>
  <c r="B128" i="38"/>
  <c r="D134" i="29"/>
  <c r="G133" i="29"/>
  <c r="E128" i="38"/>
  <c r="F128" i="38" s="1"/>
  <c r="H128" i="38" s="1"/>
  <c r="G134" i="19"/>
  <c r="D135" i="19"/>
  <c r="I131" i="27"/>
  <c r="B132" i="21"/>
  <c r="J130" i="22"/>
  <c r="J134" i="3"/>
  <c r="I127" i="38"/>
  <c r="J133" i="19"/>
  <c r="B132" i="27"/>
  <c r="I128" i="13"/>
  <c r="H128" i="13"/>
  <c r="B132" i="24"/>
  <c r="I127" i="34"/>
  <c r="E129" i="13"/>
  <c r="F129" i="13" s="1"/>
  <c r="I131" i="24"/>
  <c r="E132" i="21"/>
  <c r="F132" i="21" s="1"/>
  <c r="H132" i="21" s="1"/>
  <c r="B128" i="34"/>
  <c r="G131" i="22"/>
  <c r="D132" i="22"/>
  <c r="G128" i="20"/>
  <c r="D129" i="20"/>
  <c r="J135" i="23"/>
  <c r="D137" i="23"/>
  <c r="G136" i="23"/>
  <c r="D136" i="3"/>
  <c r="G135" i="3"/>
  <c r="H44" i="39" l="1"/>
  <c r="I44" i="39" s="1"/>
  <c r="E45" i="39"/>
  <c r="D45" i="39"/>
  <c r="B132" i="26"/>
  <c r="B128" i="37"/>
  <c r="E134" i="29"/>
  <c r="F134" i="29" s="1"/>
  <c r="H134" i="29" s="1"/>
  <c r="I127" i="39"/>
  <c r="J127" i="39" s="1"/>
  <c r="B128" i="39"/>
  <c r="F128" i="39"/>
  <c r="H128" i="39" s="1"/>
  <c r="H50" i="24"/>
  <c r="I50" i="24" s="1"/>
  <c r="D51" i="24"/>
  <c r="F132" i="26"/>
  <c r="G49" i="22"/>
  <c r="I49" i="22" s="1"/>
  <c r="H52" i="19"/>
  <c r="I52" i="19" s="1"/>
  <c r="G50" i="21"/>
  <c r="I50" i="21" s="1"/>
  <c r="I46" i="29"/>
  <c r="D53" i="18"/>
  <c r="E53" i="18" s="1"/>
  <c r="D54" i="4"/>
  <c r="E54" i="4" s="1"/>
  <c r="B46" i="34"/>
  <c r="F46" i="34"/>
  <c r="G46" i="34" s="1"/>
  <c r="G53" i="4"/>
  <c r="I53" i="4" s="1"/>
  <c r="F46" i="31"/>
  <c r="G46" i="31" s="1"/>
  <c r="B46" i="31"/>
  <c r="I49" i="27"/>
  <c r="D50" i="22"/>
  <c r="E50" i="22"/>
  <c r="B50" i="23"/>
  <c r="F50" i="23"/>
  <c r="H50" i="23" s="1"/>
  <c r="F47" i="29"/>
  <c r="H47" i="29" s="1"/>
  <c r="D51" i="21"/>
  <c r="E51" i="21"/>
  <c r="D55" i="3"/>
  <c r="E55" i="3" s="1"/>
  <c r="B44" i="38"/>
  <c r="F44" i="38"/>
  <c r="F48" i="13"/>
  <c r="B48" i="13"/>
  <c r="I71" i="20"/>
  <c r="F45" i="37"/>
  <c r="G45" i="37" s="1"/>
  <c r="B45" i="37"/>
  <c r="B50" i="27"/>
  <c r="F50" i="27"/>
  <c r="H50" i="27" s="1"/>
  <c r="I45" i="34"/>
  <c r="G72" i="20"/>
  <c r="E73" i="20"/>
  <c r="B73" i="20"/>
  <c r="H72" i="20"/>
  <c r="I131" i="26"/>
  <c r="B49" i="26"/>
  <c r="F49" i="26"/>
  <c r="H49" i="26" s="1"/>
  <c r="G52" i="18"/>
  <c r="I52" i="18" s="1"/>
  <c r="G54" i="3"/>
  <c r="I54" i="3" s="1"/>
  <c r="D53" i="19"/>
  <c r="E53" i="19" s="1"/>
  <c r="B50" i="28"/>
  <c r="B48" i="25"/>
  <c r="F48" i="25"/>
  <c r="G48" i="25" s="1"/>
  <c r="F46" i="35"/>
  <c r="G46" i="35" s="1"/>
  <c r="B46" i="35"/>
  <c r="E136" i="4"/>
  <c r="F136" i="4" s="1"/>
  <c r="H136" i="4" s="1"/>
  <c r="B136" i="4"/>
  <c r="I135" i="4"/>
  <c r="J131" i="27"/>
  <c r="I134" i="18"/>
  <c r="E135" i="18"/>
  <c r="F135" i="18" s="1"/>
  <c r="H135" i="18" s="1"/>
  <c r="B135" i="18"/>
  <c r="I128" i="35"/>
  <c r="E129" i="35"/>
  <c r="F129" i="35" s="1"/>
  <c r="H129" i="35" s="1"/>
  <c r="B129" i="35"/>
  <c r="I127" i="37"/>
  <c r="I128" i="31"/>
  <c r="D132" i="25"/>
  <c r="G131" i="25"/>
  <c r="E129" i="31"/>
  <c r="F129" i="31" s="1"/>
  <c r="H129" i="31" s="1"/>
  <c r="B129" i="31"/>
  <c r="E128" i="37"/>
  <c r="F128" i="37" s="1"/>
  <c r="H128" i="37" s="1"/>
  <c r="J130" i="25"/>
  <c r="J131" i="21"/>
  <c r="B133" i="28"/>
  <c r="J128" i="13"/>
  <c r="J131" i="24"/>
  <c r="D129" i="38"/>
  <c r="G128" i="38"/>
  <c r="D133" i="21"/>
  <c r="G132" i="21"/>
  <c r="J127" i="34"/>
  <c r="I134" i="19"/>
  <c r="D130" i="13"/>
  <c r="E130" i="13" s="1"/>
  <c r="G129" i="13"/>
  <c r="B135" i="19"/>
  <c r="D133" i="24"/>
  <c r="G132" i="24"/>
  <c r="G132" i="27"/>
  <c r="D133" i="27"/>
  <c r="G128" i="34"/>
  <c r="D129" i="34"/>
  <c r="I133" i="29"/>
  <c r="J127" i="38"/>
  <c r="E135" i="19"/>
  <c r="F135" i="19" s="1"/>
  <c r="H135" i="19" s="1"/>
  <c r="B136" i="3"/>
  <c r="B129" i="20"/>
  <c r="E129" i="20"/>
  <c r="F129" i="20" s="1"/>
  <c r="H128" i="20"/>
  <c r="I128" i="20"/>
  <c r="B132" i="22"/>
  <c r="I135" i="3"/>
  <c r="I136" i="23"/>
  <c r="I131" i="22"/>
  <c r="E136" i="3"/>
  <c r="F136" i="3" s="1"/>
  <c r="H136" i="3" s="1"/>
  <c r="E137" i="23"/>
  <c r="F137" i="23" s="1"/>
  <c r="H137" i="23" s="1"/>
  <c r="E132" i="22"/>
  <c r="F132" i="22" s="1"/>
  <c r="H132" i="22" s="1"/>
  <c r="F45" i="39" l="1"/>
  <c r="H45" i="39" s="1"/>
  <c r="B45" i="39"/>
  <c r="E133" i="27"/>
  <c r="F133" i="27" s="1"/>
  <c r="H133" i="27" s="1"/>
  <c r="H132" i="26"/>
  <c r="E133" i="24"/>
  <c r="F133" i="24" s="1"/>
  <c r="H133" i="24" s="1"/>
  <c r="E133" i="21"/>
  <c r="E129" i="34"/>
  <c r="F129" i="34" s="1"/>
  <c r="H129" i="34" s="1"/>
  <c r="G128" i="39"/>
  <c r="D129" i="39"/>
  <c r="E129" i="39" s="1"/>
  <c r="E51" i="24"/>
  <c r="F51" i="24" s="1"/>
  <c r="D52" i="24" s="1"/>
  <c r="B51" i="24"/>
  <c r="G47" i="29"/>
  <c r="I47" i="29" s="1"/>
  <c r="H46" i="34"/>
  <c r="I46" i="34" s="1"/>
  <c r="G132" i="26"/>
  <c r="D133" i="26"/>
  <c r="E133" i="26" s="1"/>
  <c r="H46" i="31"/>
  <c r="I46" i="31" s="1"/>
  <c r="H46" i="35"/>
  <c r="I46" i="35" s="1"/>
  <c r="G50" i="23"/>
  <c r="I50" i="23" s="1"/>
  <c r="H48" i="25"/>
  <c r="I48" i="25" s="1"/>
  <c r="H45" i="37"/>
  <c r="I45" i="37" s="1"/>
  <c r="I72" i="20"/>
  <c r="D49" i="13"/>
  <c r="F55" i="3"/>
  <c r="G55" i="3" s="1"/>
  <c r="B55" i="3"/>
  <c r="B54" i="4"/>
  <c r="F54" i="4"/>
  <c r="J132" i="28"/>
  <c r="F73" i="20"/>
  <c r="E74" i="20"/>
  <c r="D47" i="31"/>
  <c r="E47" i="31" s="1"/>
  <c r="J134" i="18"/>
  <c r="D50" i="26"/>
  <c r="E50" i="26" s="1"/>
  <c r="F51" i="21"/>
  <c r="H51" i="21" s="1"/>
  <c r="B51" i="21"/>
  <c r="D46" i="37"/>
  <c r="E46" i="37"/>
  <c r="D45" i="38"/>
  <c r="E45" i="38"/>
  <c r="F50" i="22"/>
  <c r="H50" i="22" s="1"/>
  <c r="B50" i="22"/>
  <c r="D47" i="35"/>
  <c r="E47" i="35" s="1"/>
  <c r="I50" i="28"/>
  <c r="G49" i="26"/>
  <c r="I49" i="26" s="1"/>
  <c r="G44" i="38"/>
  <c r="D51" i="27"/>
  <c r="E51" i="27" s="1"/>
  <c r="G48" i="13"/>
  <c r="D48" i="29"/>
  <c r="E48" i="29" s="1"/>
  <c r="D47" i="34"/>
  <c r="E47" i="34"/>
  <c r="F53" i="18"/>
  <c r="G53" i="18" s="1"/>
  <c r="B53" i="18"/>
  <c r="D49" i="25"/>
  <c r="E49" i="25"/>
  <c r="F53" i="19"/>
  <c r="H53" i="19" s="1"/>
  <c r="B53" i="19"/>
  <c r="J131" i="26"/>
  <c r="G50" i="27"/>
  <c r="I50" i="27" s="1"/>
  <c r="H48" i="13"/>
  <c r="H44" i="38"/>
  <c r="D51" i="23"/>
  <c r="E51" i="23" s="1"/>
  <c r="D136" i="18"/>
  <c r="G135" i="18"/>
  <c r="G136" i="4"/>
  <c r="D137" i="4"/>
  <c r="J128" i="35"/>
  <c r="J135" i="4"/>
  <c r="G129" i="35"/>
  <c r="D130" i="35"/>
  <c r="J136" i="23"/>
  <c r="G129" i="31"/>
  <c r="D130" i="31"/>
  <c r="I131" i="25"/>
  <c r="E132" i="25"/>
  <c r="F132" i="25" s="1"/>
  <c r="H132" i="25" s="1"/>
  <c r="B132" i="25"/>
  <c r="J128" i="31"/>
  <c r="G128" i="37"/>
  <c r="D129" i="37"/>
  <c r="J127" i="37"/>
  <c r="G135" i="19"/>
  <c r="D136" i="19"/>
  <c r="J128" i="20"/>
  <c r="B129" i="34"/>
  <c r="I128" i="34"/>
  <c r="I132" i="21"/>
  <c r="B133" i="27"/>
  <c r="I132" i="24"/>
  <c r="I129" i="13"/>
  <c r="H129" i="13"/>
  <c r="B133" i="21"/>
  <c r="F133" i="21"/>
  <c r="H133" i="21" s="1"/>
  <c r="I132" i="27"/>
  <c r="B133" i="24"/>
  <c r="B130" i="13"/>
  <c r="F130" i="13"/>
  <c r="J134" i="19"/>
  <c r="I128" i="38"/>
  <c r="B129" i="38"/>
  <c r="G134" i="29"/>
  <c r="D135" i="29"/>
  <c r="E129" i="38"/>
  <c r="F129" i="38" s="1"/>
  <c r="H129" i="38" s="1"/>
  <c r="G132" i="22"/>
  <c r="D133" i="22"/>
  <c r="G137" i="23"/>
  <c r="D138" i="23"/>
  <c r="G129" i="20"/>
  <c r="D130" i="20"/>
  <c r="E130" i="20" s="1"/>
  <c r="G136" i="3"/>
  <c r="D137" i="3"/>
  <c r="J135" i="3"/>
  <c r="J131" i="22"/>
  <c r="G45" i="39" l="1"/>
  <c r="I45" i="39" s="1"/>
  <c r="D46" i="39"/>
  <c r="E46" i="39"/>
  <c r="B133" i="26"/>
  <c r="E133" i="22"/>
  <c r="F133" i="22" s="1"/>
  <c r="H133" i="22" s="1"/>
  <c r="E137" i="3"/>
  <c r="F137" i="3" s="1"/>
  <c r="H137" i="3" s="1"/>
  <c r="E138" i="23"/>
  <c r="F138" i="23" s="1"/>
  <c r="H138" i="23" s="1"/>
  <c r="B136" i="18"/>
  <c r="E135" i="29"/>
  <c r="F135" i="29" s="1"/>
  <c r="H135" i="29" s="1"/>
  <c r="B129" i="39"/>
  <c r="F129" i="39"/>
  <c r="H129" i="39" s="1"/>
  <c r="I128" i="39"/>
  <c r="J128" i="39" s="1"/>
  <c r="I44" i="38"/>
  <c r="H55" i="3"/>
  <c r="I55" i="3" s="1"/>
  <c r="H51" i="24"/>
  <c r="E52" i="24"/>
  <c r="F52" i="24" s="1"/>
  <c r="B52" i="24"/>
  <c r="G51" i="24"/>
  <c r="I132" i="26"/>
  <c r="F133" i="26"/>
  <c r="H133" i="26" s="1"/>
  <c r="I48" i="13"/>
  <c r="G53" i="19"/>
  <c r="I53" i="19" s="1"/>
  <c r="G51" i="21"/>
  <c r="I51" i="21" s="1"/>
  <c r="B51" i="28"/>
  <c r="B51" i="27"/>
  <c r="F51" i="27"/>
  <c r="G51" i="27" s="1"/>
  <c r="H73" i="20"/>
  <c r="G73" i="20"/>
  <c r="G74" i="20" s="1"/>
  <c r="D54" i="18"/>
  <c r="E54" i="18" s="1"/>
  <c r="D51" i="22"/>
  <c r="E51" i="22"/>
  <c r="B51" i="23"/>
  <c r="F51" i="23"/>
  <c r="G50" i="22"/>
  <c r="I50" i="22" s="1"/>
  <c r="D56" i="3"/>
  <c r="E56" i="3" s="1"/>
  <c r="D54" i="19"/>
  <c r="E54" i="19" s="1"/>
  <c r="F47" i="34"/>
  <c r="H47" i="34" s="1"/>
  <c r="B47" i="34"/>
  <c r="D52" i="21"/>
  <c r="E52" i="21"/>
  <c r="D55" i="4"/>
  <c r="E55" i="4" s="1"/>
  <c r="B49" i="13"/>
  <c r="F45" i="38"/>
  <c r="H45" i="38" s="1"/>
  <c r="B45" i="38"/>
  <c r="H54" i="4"/>
  <c r="E49" i="13"/>
  <c r="F49" i="13" s="1"/>
  <c r="F49" i="25"/>
  <c r="H49" i="25" s="1"/>
  <c r="B49" i="25"/>
  <c r="F48" i="29"/>
  <c r="B50" i="26"/>
  <c r="F50" i="26"/>
  <c r="G50" i="26" s="1"/>
  <c r="J132" i="27"/>
  <c r="H53" i="18"/>
  <c r="I53" i="18" s="1"/>
  <c r="F47" i="35"/>
  <c r="H47" i="35" s="1"/>
  <c r="B47" i="35"/>
  <c r="F46" i="37"/>
  <c r="H46" i="37" s="1"/>
  <c r="B46" i="37"/>
  <c r="B47" i="31"/>
  <c r="F47" i="31"/>
  <c r="H47" i="31" s="1"/>
  <c r="G54" i="4"/>
  <c r="E137" i="4"/>
  <c r="F137" i="4" s="1"/>
  <c r="H137" i="4" s="1"/>
  <c r="B137" i="4"/>
  <c r="I136" i="4"/>
  <c r="E136" i="18"/>
  <c r="F136" i="18" s="1"/>
  <c r="H136" i="18" s="1"/>
  <c r="I135" i="18"/>
  <c r="I129" i="35"/>
  <c r="J131" i="25"/>
  <c r="J156" i="25" s="1"/>
  <c r="E130" i="35"/>
  <c r="F130" i="35" s="1"/>
  <c r="H130" i="35" s="1"/>
  <c r="B130" i="35"/>
  <c r="E129" i="37"/>
  <c r="F129" i="37" s="1"/>
  <c r="H129" i="37" s="1"/>
  <c r="B129" i="37"/>
  <c r="I128" i="37"/>
  <c r="B134" i="28"/>
  <c r="D133" i="25"/>
  <c r="G132" i="25"/>
  <c r="B130" i="31"/>
  <c r="I129" i="31"/>
  <c r="E130" i="31"/>
  <c r="F130" i="31" s="1"/>
  <c r="H130" i="31" s="1"/>
  <c r="D130" i="38"/>
  <c r="G129" i="38"/>
  <c r="J132" i="21"/>
  <c r="J128" i="34"/>
  <c r="I134" i="29"/>
  <c r="G130" i="13"/>
  <c r="D131" i="13"/>
  <c r="E131" i="13" s="1"/>
  <c r="J129" i="13"/>
  <c r="G133" i="24"/>
  <c r="D134" i="24"/>
  <c r="G133" i="21"/>
  <c r="D134" i="21"/>
  <c r="E134" i="21" s="1"/>
  <c r="J132" i="24"/>
  <c r="B136" i="19"/>
  <c r="G129" i="34"/>
  <c r="D130" i="34"/>
  <c r="E136" i="19"/>
  <c r="F136" i="19" s="1"/>
  <c r="H136" i="19" s="1"/>
  <c r="J128" i="38"/>
  <c r="G133" i="27"/>
  <c r="D134" i="27"/>
  <c r="I135" i="19"/>
  <c r="I137" i="23"/>
  <c r="B137" i="3"/>
  <c r="I136" i="3"/>
  <c r="B133" i="22"/>
  <c r="H129" i="20"/>
  <c r="I129" i="20"/>
  <c r="B130" i="20"/>
  <c r="F130" i="20"/>
  <c r="I132" i="22"/>
  <c r="F46" i="39" l="1"/>
  <c r="G46" i="39" s="1"/>
  <c r="B46" i="39"/>
  <c r="E134" i="27"/>
  <c r="F134" i="27" s="1"/>
  <c r="H134" i="27" s="1"/>
  <c r="E134" i="24"/>
  <c r="F134" i="24" s="1"/>
  <c r="H134" i="24" s="1"/>
  <c r="E130" i="38"/>
  <c r="F130" i="38" s="1"/>
  <c r="H130" i="38" s="1"/>
  <c r="E130" i="34"/>
  <c r="F130" i="34" s="1"/>
  <c r="H130" i="34" s="1"/>
  <c r="D130" i="39"/>
  <c r="E130" i="39" s="1"/>
  <c r="G129" i="39"/>
  <c r="D53" i="24"/>
  <c r="G52" i="24"/>
  <c r="H52" i="24"/>
  <c r="I51" i="24"/>
  <c r="D134" i="26"/>
  <c r="G133" i="26"/>
  <c r="I51" i="28"/>
  <c r="J132" i="26"/>
  <c r="J133" i="28"/>
  <c r="J129" i="35"/>
  <c r="G47" i="31"/>
  <c r="I47" i="31" s="1"/>
  <c r="G45" i="38"/>
  <c r="I45" i="38" s="1"/>
  <c r="H50" i="26"/>
  <c r="I50" i="26" s="1"/>
  <c r="G47" i="34"/>
  <c r="I47" i="34" s="1"/>
  <c r="G46" i="37"/>
  <c r="I46" i="37" s="1"/>
  <c r="J137" i="23"/>
  <c r="G47" i="35"/>
  <c r="I47" i="35" s="1"/>
  <c r="D50" i="13"/>
  <c r="E50" i="13" s="1"/>
  <c r="H49" i="13"/>
  <c r="G49" i="13"/>
  <c r="J135" i="18"/>
  <c r="F52" i="21"/>
  <c r="G52" i="21" s="1"/>
  <c r="B52" i="21"/>
  <c r="B56" i="3"/>
  <c r="F56" i="3"/>
  <c r="D50" i="25"/>
  <c r="E50" i="25"/>
  <c r="D52" i="27"/>
  <c r="E52" i="27"/>
  <c r="F51" i="22"/>
  <c r="G51" i="22" s="1"/>
  <c r="B51" i="22"/>
  <c r="H51" i="27"/>
  <c r="I51" i="27" s="1"/>
  <c r="D48" i="31"/>
  <c r="E48" i="31" s="1"/>
  <c r="D49" i="29"/>
  <c r="E49" i="29"/>
  <c r="I54" i="4"/>
  <c r="J129" i="31"/>
  <c r="D48" i="35"/>
  <c r="E48" i="35"/>
  <c r="G48" i="29"/>
  <c r="D48" i="34"/>
  <c r="E48" i="34" s="1"/>
  <c r="D52" i="23"/>
  <c r="E52" i="23" s="1"/>
  <c r="B54" i="18"/>
  <c r="F54" i="18"/>
  <c r="H54" i="18" s="1"/>
  <c r="H48" i="29"/>
  <c r="G49" i="25"/>
  <c r="I49" i="25" s="1"/>
  <c r="B55" i="4"/>
  <c r="F55" i="4"/>
  <c r="F54" i="19"/>
  <c r="H54" i="19" s="1"/>
  <c r="B54" i="19"/>
  <c r="G51" i="23"/>
  <c r="I73" i="20"/>
  <c r="I74" i="20" s="1"/>
  <c r="H74" i="20"/>
  <c r="J136" i="3"/>
  <c r="D47" i="37"/>
  <c r="E47" i="37" s="1"/>
  <c r="D51" i="26"/>
  <c r="E51" i="26"/>
  <c r="D46" i="38"/>
  <c r="E46" i="38" s="1"/>
  <c r="H51" i="23"/>
  <c r="G130" i="35"/>
  <c r="D131" i="35"/>
  <c r="G136" i="18"/>
  <c r="D137" i="18"/>
  <c r="J136" i="4"/>
  <c r="D138" i="4"/>
  <c r="G137" i="4"/>
  <c r="G130" i="31"/>
  <c r="D131" i="31"/>
  <c r="I132" i="25"/>
  <c r="J128" i="37"/>
  <c r="E133" i="25"/>
  <c r="F133" i="25" s="1"/>
  <c r="H133" i="25" s="1"/>
  <c r="B133" i="25"/>
  <c r="D130" i="37"/>
  <c r="G129" i="37"/>
  <c r="J132" i="22"/>
  <c r="D137" i="19"/>
  <c r="G136" i="19"/>
  <c r="I133" i="27"/>
  <c r="B130" i="34"/>
  <c r="J135" i="19"/>
  <c r="G135" i="29"/>
  <c r="D136" i="29"/>
  <c r="I129" i="34"/>
  <c r="B134" i="24"/>
  <c r="B134" i="21"/>
  <c r="F134" i="21"/>
  <c r="H134" i="21" s="1"/>
  <c r="I133" i="24"/>
  <c r="I133" i="21"/>
  <c r="I129" i="38"/>
  <c r="F131" i="13"/>
  <c r="B131" i="13"/>
  <c r="J129" i="20"/>
  <c r="B134" i="27"/>
  <c r="H130" i="13"/>
  <c r="I130" i="13"/>
  <c r="B130" i="38"/>
  <c r="G138" i="23"/>
  <c r="D139" i="23"/>
  <c r="D131" i="20"/>
  <c r="E131" i="20" s="1"/>
  <c r="G130" i="20"/>
  <c r="G133" i="22"/>
  <c r="D134" i="22"/>
  <c r="D138" i="3"/>
  <c r="G137" i="3"/>
  <c r="H46" i="39" l="1"/>
  <c r="I46" i="39" s="1"/>
  <c r="D47" i="39"/>
  <c r="E47" i="39"/>
  <c r="E137" i="19"/>
  <c r="F137" i="19" s="1"/>
  <c r="H137" i="19" s="1"/>
  <c r="E139" i="23"/>
  <c r="F139" i="23" s="1"/>
  <c r="H139" i="23" s="1"/>
  <c r="E134" i="22"/>
  <c r="F134" i="22" s="1"/>
  <c r="H134" i="22" s="1"/>
  <c r="E130" i="37"/>
  <c r="F130" i="37" s="1"/>
  <c r="H130" i="37" s="1"/>
  <c r="E131" i="35"/>
  <c r="F131" i="35" s="1"/>
  <c r="H131" i="35" s="1"/>
  <c r="E131" i="31"/>
  <c r="F131" i="31" s="1"/>
  <c r="H131" i="31" s="1"/>
  <c r="E136" i="29"/>
  <c r="I129" i="39"/>
  <c r="F130" i="39"/>
  <c r="H130" i="39" s="1"/>
  <c r="B130" i="39"/>
  <c r="I52" i="24"/>
  <c r="E53" i="24"/>
  <c r="F53" i="24" s="1"/>
  <c r="H53" i="24" s="1"/>
  <c r="B53" i="24"/>
  <c r="I133" i="26"/>
  <c r="E134" i="26"/>
  <c r="F134" i="26" s="1"/>
  <c r="H134" i="26" s="1"/>
  <c r="B134" i="26"/>
  <c r="I48" i="29"/>
  <c r="I51" i="23"/>
  <c r="B52" i="23"/>
  <c r="F52" i="23"/>
  <c r="G52" i="23" s="1"/>
  <c r="F47" i="37"/>
  <c r="G47" i="37" s="1"/>
  <c r="B47" i="37"/>
  <c r="F49" i="29"/>
  <c r="D52" i="22"/>
  <c r="E52" i="22" s="1"/>
  <c r="B50" i="25"/>
  <c r="F50" i="25"/>
  <c r="G50" i="25" s="1"/>
  <c r="D53" i="21"/>
  <c r="E53" i="21" s="1"/>
  <c r="B52" i="28"/>
  <c r="D55" i="19"/>
  <c r="E55" i="19" s="1"/>
  <c r="B48" i="34"/>
  <c r="F48" i="34"/>
  <c r="H48" i="34" s="1"/>
  <c r="D57" i="3"/>
  <c r="E57" i="3" s="1"/>
  <c r="D56" i="4"/>
  <c r="E56" i="4" s="1"/>
  <c r="F52" i="27"/>
  <c r="H52" i="27" s="1"/>
  <c r="B52" i="27"/>
  <c r="H56" i="3"/>
  <c r="G55" i="4"/>
  <c r="D55" i="18"/>
  <c r="E55" i="18" s="1"/>
  <c r="F48" i="31"/>
  <c r="H48" i="31" s="1"/>
  <c r="B48" i="31"/>
  <c r="G56" i="3"/>
  <c r="I49" i="13"/>
  <c r="B46" i="38"/>
  <c r="F46" i="38"/>
  <c r="G54" i="18"/>
  <c r="I54" i="18" s="1"/>
  <c r="B48" i="35"/>
  <c r="F48" i="35"/>
  <c r="H48" i="35" s="1"/>
  <c r="H55" i="4"/>
  <c r="H51" i="22"/>
  <c r="I51" i="22" s="1"/>
  <c r="H52" i="21"/>
  <c r="I52" i="21" s="1"/>
  <c r="B50" i="13"/>
  <c r="F50" i="13"/>
  <c r="G50" i="13" s="1"/>
  <c r="J133" i="27"/>
  <c r="F51" i="26"/>
  <c r="G51" i="26" s="1"/>
  <c r="B51" i="26"/>
  <c r="G54" i="19"/>
  <c r="I54" i="19" s="1"/>
  <c r="E137" i="18"/>
  <c r="F137" i="18" s="1"/>
  <c r="H137" i="18" s="1"/>
  <c r="B137" i="18"/>
  <c r="I137" i="4"/>
  <c r="I136" i="18"/>
  <c r="E138" i="4"/>
  <c r="F138" i="4" s="1"/>
  <c r="H138" i="4" s="1"/>
  <c r="B138" i="4"/>
  <c r="B131" i="35"/>
  <c r="J130" i="13"/>
  <c r="J133" i="24"/>
  <c r="I130" i="35"/>
  <c r="G133" i="25"/>
  <c r="D134" i="25"/>
  <c r="I129" i="37"/>
  <c r="B130" i="37"/>
  <c r="B131" i="31"/>
  <c r="I130" i="31"/>
  <c r="B135" i="28"/>
  <c r="J129" i="38"/>
  <c r="D131" i="34"/>
  <c r="G130" i="34"/>
  <c r="G131" i="13"/>
  <c r="D132" i="13"/>
  <c r="E132" i="13" s="1"/>
  <c r="G134" i="21"/>
  <c r="D135" i="21"/>
  <c r="J129" i="34"/>
  <c r="G134" i="24"/>
  <c r="D135" i="24"/>
  <c r="I136" i="19"/>
  <c r="D135" i="27"/>
  <c r="G134" i="27"/>
  <c r="G130" i="38"/>
  <c r="D131" i="38"/>
  <c r="F136" i="29"/>
  <c r="H136" i="29" s="1"/>
  <c r="J133" i="21"/>
  <c r="I135" i="29"/>
  <c r="B137" i="19"/>
  <c r="I138" i="23"/>
  <c r="I133" i="22"/>
  <c r="B138" i="3"/>
  <c r="I130" i="20"/>
  <c r="H130" i="20"/>
  <c r="B134" i="22"/>
  <c r="E138" i="3"/>
  <c r="F138" i="3" s="1"/>
  <c r="H138" i="3" s="1"/>
  <c r="F131" i="20"/>
  <c r="B131" i="20"/>
  <c r="I137" i="3"/>
  <c r="F47" i="39" l="1"/>
  <c r="B47" i="39"/>
  <c r="H47" i="39"/>
  <c r="E135" i="24"/>
  <c r="F135" i="24" s="1"/>
  <c r="H135" i="24" s="1"/>
  <c r="E135" i="21"/>
  <c r="F135" i="21" s="1"/>
  <c r="H135" i="21" s="1"/>
  <c r="E134" i="25"/>
  <c r="F134" i="25" s="1"/>
  <c r="H134" i="25" s="1"/>
  <c r="E131" i="38"/>
  <c r="F131" i="38" s="1"/>
  <c r="H131" i="38" s="1"/>
  <c r="E131" i="34"/>
  <c r="F131" i="34" s="1"/>
  <c r="H131" i="34" s="1"/>
  <c r="D131" i="39"/>
  <c r="E131" i="39" s="1"/>
  <c r="G130" i="39"/>
  <c r="J129" i="39"/>
  <c r="G53" i="24"/>
  <c r="I53" i="24" s="1"/>
  <c r="D54" i="24"/>
  <c r="J137" i="4"/>
  <c r="D135" i="26"/>
  <c r="G134" i="26"/>
  <c r="J133" i="26"/>
  <c r="H51" i="26"/>
  <c r="I51" i="26" s="1"/>
  <c r="G48" i="31"/>
  <c r="I48" i="31" s="1"/>
  <c r="H47" i="37"/>
  <c r="I47" i="37" s="1"/>
  <c r="I55" i="4"/>
  <c r="G48" i="35"/>
  <c r="I48" i="35" s="1"/>
  <c r="G52" i="27"/>
  <c r="I52" i="27" s="1"/>
  <c r="I52" i="28"/>
  <c r="H50" i="25"/>
  <c r="I50" i="25" s="1"/>
  <c r="I56" i="3"/>
  <c r="F57" i="3"/>
  <c r="H57" i="3" s="1"/>
  <c r="B57" i="3"/>
  <c r="D47" i="38"/>
  <c r="E47" i="38"/>
  <c r="D49" i="34"/>
  <c r="E49" i="34"/>
  <c r="B52" i="22"/>
  <c r="F52" i="22"/>
  <c r="G52" i="22" s="1"/>
  <c r="D48" i="37"/>
  <c r="E48" i="37" s="1"/>
  <c r="D52" i="26"/>
  <c r="E52" i="26" s="1"/>
  <c r="D49" i="31"/>
  <c r="E49" i="31" s="1"/>
  <c r="D53" i="27"/>
  <c r="E53" i="27" s="1"/>
  <c r="D50" i="29"/>
  <c r="E50" i="29" s="1"/>
  <c r="G46" i="38"/>
  <c r="G48" i="34"/>
  <c r="I48" i="34" s="1"/>
  <c r="F53" i="21"/>
  <c r="B53" i="21"/>
  <c r="G49" i="29"/>
  <c r="D53" i="23"/>
  <c r="E53" i="23" s="1"/>
  <c r="D51" i="13"/>
  <c r="H46" i="38"/>
  <c r="B55" i="18"/>
  <c r="F55" i="18"/>
  <c r="D51" i="25"/>
  <c r="E51" i="25" s="1"/>
  <c r="H49" i="29"/>
  <c r="H50" i="13"/>
  <c r="I50" i="13" s="1"/>
  <c r="D49" i="35"/>
  <c r="E49" i="35" s="1"/>
  <c r="F56" i="4"/>
  <c r="G56" i="4" s="1"/>
  <c r="B56" i="4"/>
  <c r="B55" i="19"/>
  <c r="F55" i="19"/>
  <c r="H55" i="19" s="1"/>
  <c r="H52" i="23"/>
  <c r="I52" i="23" s="1"/>
  <c r="J134" i="28"/>
  <c r="J130" i="35"/>
  <c r="J136" i="18"/>
  <c r="J129" i="37"/>
  <c r="D139" i="4"/>
  <c r="G138" i="4"/>
  <c r="D132" i="35"/>
  <c r="G131" i="35"/>
  <c r="J130" i="31"/>
  <c r="D138" i="18"/>
  <c r="G137" i="18"/>
  <c r="G130" i="37"/>
  <c r="D131" i="37"/>
  <c r="B134" i="25"/>
  <c r="D132" i="31"/>
  <c r="G131" i="31"/>
  <c r="I133" i="25"/>
  <c r="J133" i="22"/>
  <c r="J138" i="23"/>
  <c r="J136" i="19"/>
  <c r="G136" i="29"/>
  <c r="D137" i="29"/>
  <c r="B135" i="24"/>
  <c r="I130" i="34"/>
  <c r="I134" i="24"/>
  <c r="B132" i="13"/>
  <c r="F132" i="13"/>
  <c r="B131" i="34"/>
  <c r="B135" i="27"/>
  <c r="H131" i="13"/>
  <c r="I131" i="13"/>
  <c r="I130" i="38"/>
  <c r="B135" i="21"/>
  <c r="B131" i="38"/>
  <c r="E135" i="27"/>
  <c r="F135" i="27" s="1"/>
  <c r="H135" i="27" s="1"/>
  <c r="I134" i="21"/>
  <c r="D138" i="19"/>
  <c r="G137" i="19"/>
  <c r="J137" i="3"/>
  <c r="I134" i="27"/>
  <c r="G138" i="3"/>
  <c r="D139" i="3"/>
  <c r="D140" i="23"/>
  <c r="G139" i="23"/>
  <c r="D135" i="22"/>
  <c r="G134" i="22"/>
  <c r="D132" i="20"/>
  <c r="G131" i="20"/>
  <c r="J130" i="20"/>
  <c r="G47" i="39" l="1"/>
  <c r="I47" i="39" s="1"/>
  <c r="D48" i="39"/>
  <c r="E48" i="39"/>
  <c r="E138" i="19"/>
  <c r="F138" i="19" s="1"/>
  <c r="H138" i="19" s="1"/>
  <c r="B135" i="26"/>
  <c r="E140" i="23"/>
  <c r="F140" i="23" s="1"/>
  <c r="H140" i="23" s="1"/>
  <c r="E139" i="3"/>
  <c r="F139" i="3" s="1"/>
  <c r="H139" i="3" s="1"/>
  <c r="E135" i="22"/>
  <c r="F135" i="22" s="1"/>
  <c r="H135" i="22" s="1"/>
  <c r="B139" i="4"/>
  <c r="I130" i="39"/>
  <c r="F131" i="39"/>
  <c r="H131" i="39" s="1"/>
  <c r="B131" i="39"/>
  <c r="E135" i="26"/>
  <c r="F135" i="26" s="1"/>
  <c r="H135" i="26" s="1"/>
  <c r="E54" i="24"/>
  <c r="F54" i="24" s="1"/>
  <c r="H54" i="24" s="1"/>
  <c r="B54" i="24"/>
  <c r="J134" i="21"/>
  <c r="I134" i="26"/>
  <c r="H56" i="4"/>
  <c r="I56" i="4" s="1"/>
  <c r="I49" i="29"/>
  <c r="H52" i="22"/>
  <c r="I52" i="22" s="1"/>
  <c r="I46" i="38"/>
  <c r="G57" i="3"/>
  <c r="I57" i="3" s="1"/>
  <c r="D56" i="18"/>
  <c r="E56" i="18" s="1"/>
  <c r="G55" i="18"/>
  <c r="D54" i="21"/>
  <c r="E54" i="21"/>
  <c r="F49" i="31"/>
  <c r="B49" i="31"/>
  <c r="D56" i="19"/>
  <c r="E56" i="19" s="1"/>
  <c r="F49" i="35"/>
  <c r="G49" i="35" s="1"/>
  <c r="B49" i="35"/>
  <c r="B52" i="26"/>
  <c r="F52" i="26"/>
  <c r="H52" i="26" s="1"/>
  <c r="B53" i="28"/>
  <c r="G55" i="19"/>
  <c r="I55" i="19" s="1"/>
  <c r="B53" i="23"/>
  <c r="F53" i="23"/>
  <c r="H53" i="23" s="1"/>
  <c r="B51" i="13"/>
  <c r="F50" i="29"/>
  <c r="B48" i="37"/>
  <c r="F48" i="37"/>
  <c r="G48" i="37" s="1"/>
  <c r="B49" i="34"/>
  <c r="F49" i="34"/>
  <c r="H49" i="34" s="1"/>
  <c r="B51" i="25"/>
  <c r="F51" i="25"/>
  <c r="G51" i="25" s="1"/>
  <c r="E51" i="13"/>
  <c r="F51" i="13" s="1"/>
  <c r="H53" i="21"/>
  <c r="D58" i="3"/>
  <c r="E58" i="3" s="1"/>
  <c r="D57" i="4"/>
  <c r="E57" i="4" s="1"/>
  <c r="H55" i="18"/>
  <c r="G53" i="21"/>
  <c r="F53" i="27"/>
  <c r="H53" i="27" s="1"/>
  <c r="B53" i="27"/>
  <c r="D53" i="22"/>
  <c r="E53" i="22" s="1"/>
  <c r="F47" i="38"/>
  <c r="H47" i="38" s="1"/>
  <c r="B47" i="38"/>
  <c r="E132" i="35"/>
  <c r="F132" i="35" s="1"/>
  <c r="H132" i="35" s="1"/>
  <c r="B132" i="35"/>
  <c r="I138" i="4"/>
  <c r="I137" i="18"/>
  <c r="E138" i="18"/>
  <c r="F138" i="18" s="1"/>
  <c r="H138" i="18" s="1"/>
  <c r="B138" i="18"/>
  <c r="J134" i="27"/>
  <c r="I131" i="35"/>
  <c r="E139" i="4"/>
  <c r="F139" i="4" s="1"/>
  <c r="H139" i="4" s="1"/>
  <c r="I131" i="31"/>
  <c r="E132" i="31"/>
  <c r="F132" i="31" s="1"/>
  <c r="H132" i="31" s="1"/>
  <c r="B132" i="31"/>
  <c r="G134" i="25"/>
  <c r="D135" i="25"/>
  <c r="B136" i="28"/>
  <c r="E131" i="37"/>
  <c r="F131" i="37" s="1"/>
  <c r="H131" i="37" s="1"/>
  <c r="B131" i="37"/>
  <c r="I130" i="37"/>
  <c r="J130" i="38"/>
  <c r="J131" i="13"/>
  <c r="J156" i="13" s="1"/>
  <c r="J134" i="24"/>
  <c r="I136" i="29"/>
  <c r="G131" i="38"/>
  <c r="D132" i="38"/>
  <c r="I137" i="19"/>
  <c r="G135" i="27"/>
  <c r="D136" i="27"/>
  <c r="B138" i="19"/>
  <c r="J130" i="34"/>
  <c r="D132" i="34"/>
  <c r="G131" i="34"/>
  <c r="G135" i="24"/>
  <c r="D136" i="24"/>
  <c r="D136" i="21"/>
  <c r="G135" i="21"/>
  <c r="D133" i="13"/>
  <c r="E133" i="13" s="1"/>
  <c r="G132" i="13"/>
  <c r="E137" i="29"/>
  <c r="F137" i="29" s="1"/>
  <c r="H137" i="29" s="1"/>
  <c r="B139" i="3"/>
  <c r="I138" i="3"/>
  <c r="I134" i="22"/>
  <c r="I131" i="20"/>
  <c r="H131" i="20"/>
  <c r="B132" i="20"/>
  <c r="B135" i="22"/>
  <c r="E132" i="20"/>
  <c r="F132" i="20" s="1"/>
  <c r="I139" i="23"/>
  <c r="F48" i="39" l="1"/>
  <c r="G48" i="39" s="1"/>
  <c r="B48" i="39"/>
  <c r="E136" i="24"/>
  <c r="F136" i="24" s="1"/>
  <c r="H136" i="24" s="1"/>
  <c r="E136" i="21"/>
  <c r="F136" i="21" s="1"/>
  <c r="H136" i="21" s="1"/>
  <c r="E136" i="27"/>
  <c r="F136" i="27" s="1"/>
  <c r="H136" i="27" s="1"/>
  <c r="E132" i="34"/>
  <c r="F132" i="34" s="1"/>
  <c r="H132" i="34" s="1"/>
  <c r="D132" i="39"/>
  <c r="E132" i="39" s="1"/>
  <c r="G131" i="39"/>
  <c r="J130" i="39"/>
  <c r="G49" i="34"/>
  <c r="I49" i="34" s="1"/>
  <c r="G54" i="24"/>
  <c r="I54" i="24" s="1"/>
  <c r="D55" i="24"/>
  <c r="J134" i="26"/>
  <c r="G135" i="26"/>
  <c r="D136" i="26"/>
  <c r="I55" i="18"/>
  <c r="J137" i="19"/>
  <c r="I53" i="21"/>
  <c r="H49" i="35"/>
  <c r="I49" i="35" s="1"/>
  <c r="G47" i="38"/>
  <c r="I47" i="38" s="1"/>
  <c r="H51" i="25"/>
  <c r="I51" i="25" s="1"/>
  <c r="H48" i="37"/>
  <c r="I48" i="37" s="1"/>
  <c r="G53" i="27"/>
  <c r="I53" i="27" s="1"/>
  <c r="D52" i="13"/>
  <c r="E52" i="13" s="1"/>
  <c r="H51" i="13"/>
  <c r="G51" i="13"/>
  <c r="F53" i="22"/>
  <c r="H53" i="22" s="1"/>
  <c r="B53" i="22"/>
  <c r="B57" i="4"/>
  <c r="F57" i="4"/>
  <c r="D50" i="31"/>
  <c r="E50" i="31"/>
  <c r="D51" i="29"/>
  <c r="E51" i="29" s="1"/>
  <c r="G49" i="31"/>
  <c r="F58" i="3"/>
  <c r="H58" i="3" s="1"/>
  <c r="B58" i="3"/>
  <c r="D50" i="34"/>
  <c r="E50" i="34"/>
  <c r="H50" i="29"/>
  <c r="D54" i="23"/>
  <c r="E54" i="23" s="1"/>
  <c r="D50" i="35"/>
  <c r="E50" i="35" s="1"/>
  <c r="G50" i="29"/>
  <c r="D53" i="26"/>
  <c r="E53" i="26" s="1"/>
  <c r="B54" i="21"/>
  <c r="F54" i="21"/>
  <c r="G54" i="21" s="1"/>
  <c r="D54" i="27"/>
  <c r="E54" i="27" s="1"/>
  <c r="G53" i="23"/>
  <c r="I53" i="23" s="1"/>
  <c r="G52" i="26"/>
  <c r="I52" i="26" s="1"/>
  <c r="B56" i="19"/>
  <c r="F56" i="19"/>
  <c r="D48" i="38"/>
  <c r="E48" i="38"/>
  <c r="F56" i="18"/>
  <c r="H56" i="18" s="1"/>
  <c r="B56" i="18"/>
  <c r="J138" i="4"/>
  <c r="D52" i="25"/>
  <c r="E52" i="25" s="1"/>
  <c r="D49" i="37"/>
  <c r="E49" i="37" s="1"/>
  <c r="I53" i="28"/>
  <c r="H49" i="31"/>
  <c r="D139" i="18"/>
  <c r="G138" i="18"/>
  <c r="J137" i="18"/>
  <c r="G139" i="4"/>
  <c r="D140" i="4"/>
  <c r="J130" i="37"/>
  <c r="J131" i="35"/>
  <c r="J156" i="35" s="1"/>
  <c r="G132" i="35"/>
  <c r="D133" i="35"/>
  <c r="G131" i="37"/>
  <c r="D132" i="37"/>
  <c r="B135" i="25"/>
  <c r="E135" i="25"/>
  <c r="F135" i="25" s="1"/>
  <c r="H135" i="25" s="1"/>
  <c r="I134" i="25"/>
  <c r="D133" i="31"/>
  <c r="G132" i="31"/>
  <c r="J135" i="28"/>
  <c r="J131" i="31"/>
  <c r="J134" i="22"/>
  <c r="G137" i="29"/>
  <c r="D138" i="29"/>
  <c r="I131" i="34"/>
  <c r="B132" i="38"/>
  <c r="B132" i="34"/>
  <c r="G138" i="19"/>
  <c r="D139" i="19"/>
  <c r="I131" i="38"/>
  <c r="B133" i="13"/>
  <c r="F133" i="13"/>
  <c r="B136" i="21"/>
  <c r="E132" i="38"/>
  <c r="F132" i="38" s="1"/>
  <c r="H132" i="38" s="1"/>
  <c r="I135" i="24"/>
  <c r="I135" i="21"/>
  <c r="B136" i="27"/>
  <c r="I132" i="13"/>
  <c r="H132" i="13"/>
  <c r="B136" i="24"/>
  <c r="I135" i="27"/>
  <c r="G132" i="20"/>
  <c r="D133" i="20"/>
  <c r="E133" i="20" s="1"/>
  <c r="G139" i="3"/>
  <c r="D140" i="3"/>
  <c r="J139" i="23"/>
  <c r="J131" i="20"/>
  <c r="G135" i="22"/>
  <c r="D136" i="22"/>
  <c r="J138" i="3"/>
  <c r="D141" i="23"/>
  <c r="G140" i="23"/>
  <c r="H48" i="39" l="1"/>
  <c r="I48" i="39" s="1"/>
  <c r="E49" i="39"/>
  <c r="D49" i="39"/>
  <c r="B136" i="26"/>
  <c r="E141" i="23"/>
  <c r="F141" i="23" s="1"/>
  <c r="H141" i="23" s="1"/>
  <c r="B139" i="18"/>
  <c r="E133" i="31"/>
  <c r="F133" i="31" s="1"/>
  <c r="H133" i="31" s="1"/>
  <c r="E138" i="29"/>
  <c r="F138" i="29" s="1"/>
  <c r="H138" i="29" s="1"/>
  <c r="I131" i="39"/>
  <c r="B132" i="39"/>
  <c r="F132" i="39"/>
  <c r="H132" i="39" s="1"/>
  <c r="E136" i="26"/>
  <c r="F136" i="26" s="1"/>
  <c r="H136" i="26" s="1"/>
  <c r="E55" i="24"/>
  <c r="F55" i="24" s="1"/>
  <c r="B55" i="24"/>
  <c r="I135" i="26"/>
  <c r="I49" i="31"/>
  <c r="H54" i="21"/>
  <c r="I54" i="21" s="1"/>
  <c r="E139" i="18"/>
  <c r="F139" i="18" s="1"/>
  <c r="H139" i="18" s="1"/>
  <c r="G56" i="18"/>
  <c r="I56" i="18" s="1"/>
  <c r="B48" i="38"/>
  <c r="F48" i="38"/>
  <c r="B49" i="37"/>
  <c r="F49" i="37"/>
  <c r="D57" i="19"/>
  <c r="E57" i="19" s="1"/>
  <c r="B54" i="27"/>
  <c r="F54" i="27"/>
  <c r="F50" i="31"/>
  <c r="G50" i="31" s="1"/>
  <c r="B50" i="31"/>
  <c r="J131" i="38"/>
  <c r="J156" i="38" s="1"/>
  <c r="G56" i="19"/>
  <c r="B50" i="35"/>
  <c r="F50" i="35"/>
  <c r="G50" i="35" s="1"/>
  <c r="D59" i="3"/>
  <c r="E59" i="3" s="1"/>
  <c r="D54" i="22"/>
  <c r="E54" i="22" s="1"/>
  <c r="F52" i="25"/>
  <c r="H52" i="25" s="1"/>
  <c r="B52" i="25"/>
  <c r="D55" i="21"/>
  <c r="E55" i="21" s="1"/>
  <c r="G58" i="3"/>
  <c r="I58" i="3" s="1"/>
  <c r="D58" i="4"/>
  <c r="E58" i="4" s="1"/>
  <c r="H56" i="19"/>
  <c r="B54" i="23"/>
  <c r="F54" i="23"/>
  <c r="G54" i="23" s="1"/>
  <c r="I50" i="29"/>
  <c r="H57" i="4"/>
  <c r="I51" i="13"/>
  <c r="B54" i="28"/>
  <c r="G57" i="4"/>
  <c r="D57" i="18"/>
  <c r="E57" i="18" s="1"/>
  <c r="F53" i="26"/>
  <c r="H53" i="26" s="1"/>
  <c r="B53" i="26"/>
  <c r="B50" i="34"/>
  <c r="F50" i="34"/>
  <c r="F51" i="29"/>
  <c r="G53" i="22"/>
  <c r="I53" i="22" s="1"/>
  <c r="B52" i="13"/>
  <c r="F52" i="13"/>
  <c r="G52" i="13" s="1"/>
  <c r="B140" i="4"/>
  <c r="E140" i="4"/>
  <c r="F140" i="4" s="1"/>
  <c r="H140" i="4" s="1"/>
  <c r="I139" i="4"/>
  <c r="J135" i="24"/>
  <c r="E133" i="35"/>
  <c r="F133" i="35" s="1"/>
  <c r="H133" i="35" s="1"/>
  <c r="B133" i="35"/>
  <c r="I138" i="18"/>
  <c r="I132" i="35"/>
  <c r="G135" i="25"/>
  <c r="D136" i="25"/>
  <c r="B132" i="37"/>
  <c r="I132" i="31"/>
  <c r="E132" i="37"/>
  <c r="F132" i="37" s="1"/>
  <c r="H132" i="37" s="1"/>
  <c r="I131" i="37"/>
  <c r="B133" i="31"/>
  <c r="B137" i="28"/>
  <c r="J131" i="34"/>
  <c r="J156" i="34" s="1"/>
  <c r="J135" i="27"/>
  <c r="D133" i="38"/>
  <c r="G132" i="38"/>
  <c r="B139" i="19"/>
  <c r="D137" i="27"/>
  <c r="G136" i="27"/>
  <c r="D137" i="21"/>
  <c r="G136" i="21"/>
  <c r="E139" i="19"/>
  <c r="F139" i="19" s="1"/>
  <c r="H139" i="19" s="1"/>
  <c r="I137" i="29"/>
  <c r="I138" i="19"/>
  <c r="G136" i="24"/>
  <c r="D137" i="24"/>
  <c r="G133" i="13"/>
  <c r="D134" i="13"/>
  <c r="E134" i="13" s="1"/>
  <c r="D133" i="34"/>
  <c r="G132" i="34"/>
  <c r="J135" i="21"/>
  <c r="B140" i="3"/>
  <c r="B133" i="20"/>
  <c r="F133" i="20"/>
  <c r="H132" i="20"/>
  <c r="I132" i="20"/>
  <c r="I139" i="3"/>
  <c r="B136" i="22"/>
  <c r="I135" i="22"/>
  <c r="I140" i="23"/>
  <c r="E140" i="3"/>
  <c r="F140" i="3" s="1"/>
  <c r="H140" i="3" s="1"/>
  <c r="E136" i="22"/>
  <c r="F136" i="22" s="1"/>
  <c r="H136" i="22" s="1"/>
  <c r="B49" i="39" l="1"/>
  <c r="F49" i="39"/>
  <c r="G49" i="39" s="1"/>
  <c r="E137" i="24"/>
  <c r="F137" i="24" s="1"/>
  <c r="H137" i="24" s="1"/>
  <c r="E137" i="21"/>
  <c r="E133" i="38"/>
  <c r="F133" i="38" s="1"/>
  <c r="H133" i="38" s="1"/>
  <c r="D133" i="39"/>
  <c r="G132" i="39"/>
  <c r="J131" i="39"/>
  <c r="J156" i="39" s="1"/>
  <c r="H55" i="24"/>
  <c r="D56" i="24"/>
  <c r="G55" i="24"/>
  <c r="J135" i="26"/>
  <c r="D137" i="26"/>
  <c r="G136" i="26"/>
  <c r="G52" i="25"/>
  <c r="I52" i="25" s="1"/>
  <c r="H50" i="31"/>
  <c r="I50" i="31" s="1"/>
  <c r="J132" i="20"/>
  <c r="G53" i="26"/>
  <c r="I53" i="26" s="1"/>
  <c r="H50" i="35"/>
  <c r="I50" i="35" s="1"/>
  <c r="I57" i="4"/>
  <c r="G139" i="18"/>
  <c r="D140" i="18"/>
  <c r="J132" i="31"/>
  <c r="D51" i="34"/>
  <c r="E51" i="34" s="1"/>
  <c r="F58" i="4"/>
  <c r="G58" i="4" s="1"/>
  <c r="B58" i="4"/>
  <c r="D55" i="27"/>
  <c r="E55" i="27" s="1"/>
  <c r="D50" i="37"/>
  <c r="E50" i="37" s="1"/>
  <c r="D53" i="13"/>
  <c r="E53" i="13" s="1"/>
  <c r="B57" i="18"/>
  <c r="F57" i="18"/>
  <c r="H52" i="13"/>
  <c r="I52" i="13" s="1"/>
  <c r="H50" i="34"/>
  <c r="G54" i="27"/>
  <c r="G50" i="34"/>
  <c r="D55" i="23"/>
  <c r="E55" i="23" s="1"/>
  <c r="B55" i="21"/>
  <c r="F55" i="21"/>
  <c r="H55" i="21" s="1"/>
  <c r="F54" i="22"/>
  <c r="H54" i="22" s="1"/>
  <c r="B54" i="22"/>
  <c r="H54" i="27"/>
  <c r="J139" i="4"/>
  <c r="H54" i="23"/>
  <c r="I54" i="23" s="1"/>
  <c r="D49" i="38"/>
  <c r="E49" i="38" s="1"/>
  <c r="D52" i="29"/>
  <c r="E52" i="29" s="1"/>
  <c r="B59" i="3"/>
  <c r="F59" i="3"/>
  <c r="G59" i="3" s="1"/>
  <c r="F57" i="19"/>
  <c r="H57" i="19" s="1"/>
  <c r="B57" i="19"/>
  <c r="H51" i="29"/>
  <c r="I56" i="19"/>
  <c r="H49" i="37"/>
  <c r="G48" i="38"/>
  <c r="G51" i="29"/>
  <c r="D54" i="26"/>
  <c r="E54" i="26" s="1"/>
  <c r="D53" i="25"/>
  <c r="E53" i="25" s="1"/>
  <c r="D51" i="35"/>
  <c r="E51" i="35" s="1"/>
  <c r="D51" i="31"/>
  <c r="E51" i="31" s="1"/>
  <c r="G49" i="37"/>
  <c r="H48" i="38"/>
  <c r="D134" i="35"/>
  <c r="G133" i="35"/>
  <c r="J140" i="23"/>
  <c r="J139" i="3"/>
  <c r="J136" i="28"/>
  <c r="D141" i="4"/>
  <c r="G140" i="4"/>
  <c r="J138" i="18"/>
  <c r="G132" i="37"/>
  <c r="D133" i="37"/>
  <c r="D134" i="31"/>
  <c r="G133" i="31"/>
  <c r="J138" i="19"/>
  <c r="E136" i="25"/>
  <c r="F136" i="25" s="1"/>
  <c r="H136" i="25" s="1"/>
  <c r="B136" i="25"/>
  <c r="J131" i="37"/>
  <c r="J156" i="37" s="1"/>
  <c r="I135" i="25"/>
  <c r="B137" i="24"/>
  <c r="B137" i="27"/>
  <c r="I136" i="27"/>
  <c r="H133" i="13"/>
  <c r="I133" i="13"/>
  <c r="I136" i="24"/>
  <c r="B133" i="34"/>
  <c r="D139" i="29"/>
  <c r="G138" i="29"/>
  <c r="I136" i="21"/>
  <c r="F134" i="13"/>
  <c r="B134" i="13"/>
  <c r="E133" i="34"/>
  <c r="F133" i="34" s="1"/>
  <c r="H133" i="34" s="1"/>
  <c r="B137" i="21"/>
  <c r="F137" i="21"/>
  <c r="H137" i="21" s="1"/>
  <c r="I132" i="38"/>
  <c r="G139" i="19"/>
  <c r="D140" i="19"/>
  <c r="I132" i="34"/>
  <c r="E137" i="27"/>
  <c r="F137" i="27" s="1"/>
  <c r="H137" i="27" s="1"/>
  <c r="B133" i="38"/>
  <c r="G140" i="3"/>
  <c r="D141" i="3"/>
  <c r="D142" i="23"/>
  <c r="G141" i="23"/>
  <c r="G136" i="22"/>
  <c r="D137" i="22"/>
  <c r="D134" i="20"/>
  <c r="G133" i="20"/>
  <c r="J135" i="22"/>
  <c r="I55" i="24" l="1"/>
  <c r="D50" i="39"/>
  <c r="E50" i="39"/>
  <c r="H49" i="39"/>
  <c r="I49" i="39" s="1"/>
  <c r="E133" i="39"/>
  <c r="E137" i="22"/>
  <c r="F137" i="22" s="1"/>
  <c r="H137" i="22" s="1"/>
  <c r="E141" i="3"/>
  <c r="F141" i="3" s="1"/>
  <c r="H141" i="3" s="1"/>
  <c r="E142" i="23"/>
  <c r="F142" i="23" s="1"/>
  <c r="H142" i="23" s="1"/>
  <c r="E133" i="37"/>
  <c r="F133" i="37" s="1"/>
  <c r="H133" i="37" s="1"/>
  <c r="E139" i="29"/>
  <c r="I132" i="39"/>
  <c r="F133" i="39"/>
  <c r="H133" i="39" s="1"/>
  <c r="B133" i="39"/>
  <c r="E56" i="24"/>
  <c r="F56" i="24" s="1"/>
  <c r="G56" i="24" s="1"/>
  <c r="B56" i="24"/>
  <c r="I54" i="28"/>
  <c r="I136" i="26"/>
  <c r="E137" i="26"/>
  <c r="F137" i="26" s="1"/>
  <c r="H137" i="26" s="1"/>
  <c r="B137" i="26"/>
  <c r="I51" i="29"/>
  <c r="I54" i="27"/>
  <c r="B140" i="18"/>
  <c r="E140" i="18"/>
  <c r="F140" i="18" s="1"/>
  <c r="H140" i="18" s="1"/>
  <c r="I139" i="18"/>
  <c r="I48" i="38"/>
  <c r="D58" i="18"/>
  <c r="E58" i="18" s="1"/>
  <c r="B55" i="27"/>
  <c r="F55" i="27"/>
  <c r="G55" i="27" s="1"/>
  <c r="F54" i="26"/>
  <c r="H54" i="26" s="1"/>
  <c r="B54" i="26"/>
  <c r="B49" i="38"/>
  <c r="F49" i="38"/>
  <c r="G49" i="38" s="1"/>
  <c r="D55" i="22"/>
  <c r="E55" i="22" s="1"/>
  <c r="B55" i="28"/>
  <c r="H57" i="18"/>
  <c r="B51" i="31"/>
  <c r="F51" i="31"/>
  <c r="D56" i="21"/>
  <c r="E56" i="21" s="1"/>
  <c r="D59" i="4"/>
  <c r="E59" i="4" s="1"/>
  <c r="I49" i="37"/>
  <c r="D58" i="19"/>
  <c r="E58" i="19" s="1"/>
  <c r="G55" i="21"/>
  <c r="I55" i="21" s="1"/>
  <c r="I50" i="34"/>
  <c r="F53" i="13"/>
  <c r="G53" i="13" s="1"/>
  <c r="B53" i="13"/>
  <c r="H58" i="4"/>
  <c r="I58" i="4" s="1"/>
  <c r="F51" i="35"/>
  <c r="B51" i="35"/>
  <c r="G57" i="19"/>
  <c r="I57" i="19" s="1"/>
  <c r="D60" i="3"/>
  <c r="E60" i="3" s="1"/>
  <c r="G54" i="22"/>
  <c r="I54" i="22" s="1"/>
  <c r="B55" i="23"/>
  <c r="F55" i="23"/>
  <c r="G55" i="23" s="1"/>
  <c r="F50" i="37"/>
  <c r="G50" i="37" s="1"/>
  <c r="B50" i="37"/>
  <c r="F51" i="34"/>
  <c r="G51" i="34" s="1"/>
  <c r="B51" i="34"/>
  <c r="F53" i="25"/>
  <c r="G53" i="25" s="1"/>
  <c r="B53" i="25"/>
  <c r="H59" i="3"/>
  <c r="I59" i="3" s="1"/>
  <c r="F52" i="29"/>
  <c r="H52" i="29" s="1"/>
  <c r="G57" i="18"/>
  <c r="I140" i="4"/>
  <c r="B141" i="4"/>
  <c r="E141" i="4"/>
  <c r="F141" i="4" s="1"/>
  <c r="H141" i="4" s="1"/>
  <c r="I133" i="35"/>
  <c r="J136" i="24"/>
  <c r="E134" i="35"/>
  <c r="F134" i="35" s="1"/>
  <c r="H134" i="35" s="1"/>
  <c r="B134" i="35"/>
  <c r="J136" i="27"/>
  <c r="I133" i="31"/>
  <c r="E134" i="31"/>
  <c r="F134" i="31" s="1"/>
  <c r="H134" i="31" s="1"/>
  <c r="B134" i="31"/>
  <c r="B138" i="28"/>
  <c r="G136" i="25"/>
  <c r="D137" i="25"/>
  <c r="B133" i="37"/>
  <c r="I132" i="37"/>
  <c r="G133" i="34"/>
  <c r="D134" i="34"/>
  <c r="G137" i="27"/>
  <c r="D138" i="27"/>
  <c r="I139" i="19"/>
  <c r="J136" i="21"/>
  <c r="G137" i="24"/>
  <c r="D138" i="24"/>
  <c r="B140" i="19"/>
  <c r="E140" i="19"/>
  <c r="F140" i="19" s="1"/>
  <c r="H140" i="19" s="1"/>
  <c r="D138" i="21"/>
  <c r="G137" i="21"/>
  <c r="I138" i="29"/>
  <c r="G133" i="38"/>
  <c r="D134" i="38"/>
  <c r="F139" i="29"/>
  <c r="H139" i="29" s="1"/>
  <c r="D135" i="13"/>
  <c r="E135" i="13" s="1"/>
  <c r="G134" i="13"/>
  <c r="B134" i="20"/>
  <c r="I136" i="22"/>
  <c r="B137" i="22"/>
  <c r="H133" i="20"/>
  <c r="I133" i="20"/>
  <c r="B141" i="3"/>
  <c r="I141" i="23"/>
  <c r="E134" i="20"/>
  <c r="F134" i="20" s="1"/>
  <c r="I140" i="3"/>
  <c r="F50" i="39" l="1"/>
  <c r="H50" i="39" s="1"/>
  <c r="B50" i="39"/>
  <c r="E138" i="24"/>
  <c r="F138" i="24" s="1"/>
  <c r="H138" i="24" s="1"/>
  <c r="E138" i="27"/>
  <c r="F138" i="27" s="1"/>
  <c r="H138" i="27" s="1"/>
  <c r="E138" i="21"/>
  <c r="E134" i="34"/>
  <c r="F134" i="34" s="1"/>
  <c r="H134" i="34" s="1"/>
  <c r="G133" i="39"/>
  <c r="D134" i="39"/>
  <c r="H49" i="38"/>
  <c r="I49" i="38" s="1"/>
  <c r="H56" i="24"/>
  <c r="I56" i="24" s="1"/>
  <c r="D57" i="24"/>
  <c r="D138" i="26"/>
  <c r="G137" i="26"/>
  <c r="J136" i="26"/>
  <c r="J140" i="4"/>
  <c r="H53" i="25"/>
  <c r="I53" i="25" s="1"/>
  <c r="H55" i="23"/>
  <c r="I55" i="23" s="1"/>
  <c r="J139" i="18"/>
  <c r="H50" i="37"/>
  <c r="I50" i="37" s="1"/>
  <c r="G54" i="26"/>
  <c r="I54" i="26" s="1"/>
  <c r="D141" i="18"/>
  <c r="G140" i="18"/>
  <c r="D52" i="35"/>
  <c r="E52" i="35" s="1"/>
  <c r="F56" i="21"/>
  <c r="H56" i="21" s="1"/>
  <c r="B56" i="21"/>
  <c r="D52" i="34"/>
  <c r="E52" i="34" s="1"/>
  <c r="H51" i="35"/>
  <c r="I57" i="18"/>
  <c r="D56" i="27"/>
  <c r="E56" i="27" s="1"/>
  <c r="D50" i="38"/>
  <c r="E50" i="38"/>
  <c r="H55" i="27"/>
  <c r="I55" i="27" s="1"/>
  <c r="F58" i="19"/>
  <c r="B58" i="19"/>
  <c r="D52" i="31"/>
  <c r="E52" i="31" s="1"/>
  <c r="B60" i="3"/>
  <c r="F60" i="3"/>
  <c r="G60" i="3" s="1"/>
  <c r="H51" i="31"/>
  <c r="D54" i="25"/>
  <c r="E54" i="25" s="1"/>
  <c r="D51" i="37"/>
  <c r="E51" i="37" s="1"/>
  <c r="D54" i="13"/>
  <c r="G51" i="31"/>
  <c r="I55" i="28"/>
  <c r="F58" i="18"/>
  <c r="G58" i="18" s="1"/>
  <c r="B58" i="18"/>
  <c r="D53" i="29"/>
  <c r="E53" i="29" s="1"/>
  <c r="H51" i="34"/>
  <c r="I51" i="34" s="1"/>
  <c r="H53" i="13"/>
  <c r="I53" i="13" s="1"/>
  <c r="B59" i="4"/>
  <c r="F59" i="4"/>
  <c r="H59" i="4" s="1"/>
  <c r="J139" i="19"/>
  <c r="G52" i="29"/>
  <c r="I52" i="29" s="1"/>
  <c r="D56" i="23"/>
  <c r="E56" i="23" s="1"/>
  <c r="G51" i="35"/>
  <c r="B55" i="22"/>
  <c r="F55" i="22"/>
  <c r="D55" i="26"/>
  <c r="E55" i="26" s="1"/>
  <c r="G134" i="35"/>
  <c r="D135" i="35"/>
  <c r="D142" i="4"/>
  <c r="G141" i="4"/>
  <c r="J137" i="28"/>
  <c r="J141" i="23"/>
  <c r="D134" i="37"/>
  <c r="G133" i="37"/>
  <c r="G134" i="31"/>
  <c r="D135" i="31"/>
  <c r="E137" i="25"/>
  <c r="F137" i="25" s="1"/>
  <c r="H137" i="25" s="1"/>
  <c r="B137" i="25"/>
  <c r="I136" i="25"/>
  <c r="J133" i="31"/>
  <c r="D141" i="19"/>
  <c r="G140" i="19"/>
  <c r="H134" i="13"/>
  <c r="I134" i="13"/>
  <c r="B138" i="24"/>
  <c r="J136" i="22"/>
  <c r="B135" i="13"/>
  <c r="F135" i="13"/>
  <c r="I137" i="24"/>
  <c r="B138" i="27"/>
  <c r="G139" i="29"/>
  <c r="D140" i="29"/>
  <c r="J133" i="20"/>
  <c r="B134" i="38"/>
  <c r="I137" i="27"/>
  <c r="I133" i="38"/>
  <c r="E134" i="38"/>
  <c r="F134" i="38" s="1"/>
  <c r="H134" i="38" s="1"/>
  <c r="I137" i="21"/>
  <c r="B134" i="34"/>
  <c r="B138" i="21"/>
  <c r="F138" i="21"/>
  <c r="H138" i="21" s="1"/>
  <c r="I133" i="34"/>
  <c r="G134" i="20"/>
  <c r="D135" i="20"/>
  <c r="E135" i="20" s="1"/>
  <c r="D143" i="23"/>
  <c r="G142" i="23"/>
  <c r="G141" i="3"/>
  <c r="D142" i="3"/>
  <c r="J140" i="3"/>
  <c r="D138" i="22"/>
  <c r="G137" i="22"/>
  <c r="G50" i="39" l="1"/>
  <c r="I50" i="39" s="1"/>
  <c r="D51" i="39"/>
  <c r="E51" i="39" s="1"/>
  <c r="E141" i="19"/>
  <c r="F141" i="19" s="1"/>
  <c r="H141" i="19" s="1"/>
  <c r="E138" i="22"/>
  <c r="F138" i="22" s="1"/>
  <c r="H138" i="22" s="1"/>
  <c r="E143" i="23"/>
  <c r="F143" i="23" s="1"/>
  <c r="H143" i="23" s="1"/>
  <c r="E140" i="29"/>
  <c r="F140" i="29" s="1"/>
  <c r="H140" i="29" s="1"/>
  <c r="E134" i="39"/>
  <c r="F134" i="39" s="1"/>
  <c r="H134" i="39" s="1"/>
  <c r="B134" i="39"/>
  <c r="I133" i="39"/>
  <c r="G59" i="4"/>
  <c r="I59" i="4" s="1"/>
  <c r="E57" i="24"/>
  <c r="F57" i="24" s="1"/>
  <c r="B57" i="24"/>
  <c r="I137" i="26"/>
  <c r="E138" i="26"/>
  <c r="F138" i="26" s="1"/>
  <c r="H138" i="26" s="1"/>
  <c r="B138" i="26"/>
  <c r="H58" i="18"/>
  <c r="I58" i="18" s="1"/>
  <c r="G56" i="21"/>
  <c r="I56" i="21" s="1"/>
  <c r="I51" i="31"/>
  <c r="H60" i="3"/>
  <c r="I60" i="3" s="1"/>
  <c r="I140" i="18"/>
  <c r="E141" i="18"/>
  <c r="F141" i="18" s="1"/>
  <c r="H141" i="18" s="1"/>
  <c r="B141" i="18"/>
  <c r="D56" i="22"/>
  <c r="E56" i="22" s="1"/>
  <c r="F53" i="29"/>
  <c r="H53" i="29" s="1"/>
  <c r="B54" i="13"/>
  <c r="D59" i="19"/>
  <c r="E59" i="19" s="1"/>
  <c r="F52" i="34"/>
  <c r="G52" i="34" s="1"/>
  <c r="B52" i="34"/>
  <c r="G55" i="22"/>
  <c r="F51" i="37"/>
  <c r="H51" i="37" s="1"/>
  <c r="B51" i="37"/>
  <c r="H55" i="22"/>
  <c r="D60" i="4"/>
  <c r="E60" i="4" s="1"/>
  <c r="F50" i="38"/>
  <c r="G50" i="38" s="1"/>
  <c r="B50" i="38"/>
  <c r="D59" i="18"/>
  <c r="B54" i="25"/>
  <c r="F54" i="25"/>
  <c r="F52" i="31"/>
  <c r="G52" i="31" s="1"/>
  <c r="B52" i="31"/>
  <c r="F56" i="27"/>
  <c r="G56" i="27" s="1"/>
  <c r="B56" i="27"/>
  <c r="D57" i="21"/>
  <c r="E57" i="21" s="1"/>
  <c r="B56" i="23"/>
  <c r="F56" i="23"/>
  <c r="G56" i="23" s="1"/>
  <c r="B56" i="28"/>
  <c r="G58" i="19"/>
  <c r="I51" i="35"/>
  <c r="F52" i="35"/>
  <c r="G52" i="35" s="1"/>
  <c r="B52" i="35"/>
  <c r="F55" i="26"/>
  <c r="B55" i="26"/>
  <c r="E54" i="13"/>
  <c r="F54" i="13" s="1"/>
  <c r="D61" i="3"/>
  <c r="E61" i="3" s="1"/>
  <c r="H58" i="19"/>
  <c r="I141" i="4"/>
  <c r="B142" i="4"/>
  <c r="E142" i="4"/>
  <c r="F142" i="4" s="1"/>
  <c r="H142" i="4" s="1"/>
  <c r="E135" i="35"/>
  <c r="F135" i="35" s="1"/>
  <c r="H135" i="35" s="1"/>
  <c r="B135" i="35"/>
  <c r="I134" i="35"/>
  <c r="G137" i="25"/>
  <c r="D138" i="25"/>
  <c r="B139" i="28"/>
  <c r="E135" i="31"/>
  <c r="F135" i="31" s="1"/>
  <c r="H135" i="31" s="1"/>
  <c r="B135" i="31"/>
  <c r="I134" i="31"/>
  <c r="I133" i="37"/>
  <c r="E134" i="37"/>
  <c r="F134" i="37" s="1"/>
  <c r="H134" i="37" s="1"/>
  <c r="B134" i="37"/>
  <c r="D135" i="34"/>
  <c r="G134" i="34"/>
  <c r="D139" i="27"/>
  <c r="G138" i="27"/>
  <c r="D136" i="13"/>
  <c r="E136" i="13" s="1"/>
  <c r="G135" i="13"/>
  <c r="G138" i="21"/>
  <c r="D139" i="21"/>
  <c r="G134" i="38"/>
  <c r="D135" i="38"/>
  <c r="I140" i="19"/>
  <c r="J137" i="24"/>
  <c r="D139" i="24"/>
  <c r="G138" i="24"/>
  <c r="I139" i="29"/>
  <c r="J137" i="21"/>
  <c r="J137" i="27"/>
  <c r="B141" i="19"/>
  <c r="B135" i="20"/>
  <c r="F135" i="20"/>
  <c r="I141" i="3"/>
  <c r="I142" i="23"/>
  <c r="H134" i="20"/>
  <c r="I134" i="20"/>
  <c r="B142" i="3"/>
  <c r="E142" i="3"/>
  <c r="F142" i="3" s="1"/>
  <c r="H142" i="3" s="1"/>
  <c r="I137" i="22"/>
  <c r="B138" i="22"/>
  <c r="B51" i="39" l="1"/>
  <c r="F51" i="39"/>
  <c r="E139" i="27"/>
  <c r="F139" i="27" s="1"/>
  <c r="H139" i="27" s="1"/>
  <c r="E139" i="21"/>
  <c r="F139" i="21" s="1"/>
  <c r="H139" i="21" s="1"/>
  <c r="E139" i="24"/>
  <c r="E135" i="38"/>
  <c r="F135" i="38" s="1"/>
  <c r="H135" i="38" s="1"/>
  <c r="E135" i="34"/>
  <c r="F135" i="34" s="1"/>
  <c r="H135" i="34" s="1"/>
  <c r="D135" i="39"/>
  <c r="G134" i="39"/>
  <c r="H57" i="24"/>
  <c r="D58" i="24"/>
  <c r="G57" i="24"/>
  <c r="J137" i="26"/>
  <c r="G138" i="26"/>
  <c r="D139" i="26"/>
  <c r="G53" i="29"/>
  <c r="I53" i="29" s="1"/>
  <c r="H50" i="38"/>
  <c r="I50" i="38" s="1"/>
  <c r="J138" i="28"/>
  <c r="J134" i="31"/>
  <c r="H56" i="23"/>
  <c r="I56" i="23" s="1"/>
  <c r="I56" i="28"/>
  <c r="H56" i="27"/>
  <c r="I56" i="27" s="1"/>
  <c r="G141" i="18"/>
  <c r="D142" i="18"/>
  <c r="J140" i="18"/>
  <c r="H52" i="34"/>
  <c r="I52" i="34" s="1"/>
  <c r="H52" i="35"/>
  <c r="I52" i="35" s="1"/>
  <c r="D55" i="13"/>
  <c r="H54" i="13"/>
  <c r="G54" i="13"/>
  <c r="D56" i="26"/>
  <c r="E56" i="26" s="1"/>
  <c r="B59" i="18"/>
  <c r="G55" i="26"/>
  <c r="I58" i="19"/>
  <c r="B57" i="21"/>
  <c r="F57" i="21"/>
  <c r="G57" i="21" s="1"/>
  <c r="D53" i="31"/>
  <c r="E53" i="31" s="1"/>
  <c r="D52" i="37"/>
  <c r="E52" i="37" s="1"/>
  <c r="D55" i="25"/>
  <c r="E55" i="25" s="1"/>
  <c r="G51" i="37"/>
  <c r="I51" i="37" s="1"/>
  <c r="J134" i="20"/>
  <c r="B61" i="3"/>
  <c r="F61" i="3"/>
  <c r="H54" i="25"/>
  <c r="D51" i="38"/>
  <c r="E51" i="38" s="1"/>
  <c r="D53" i="34"/>
  <c r="E53" i="34" s="1"/>
  <c r="D53" i="35"/>
  <c r="E53" i="35" s="1"/>
  <c r="D54" i="29"/>
  <c r="E54" i="29" s="1"/>
  <c r="D57" i="27"/>
  <c r="E57" i="27" s="1"/>
  <c r="G54" i="25"/>
  <c r="F60" i="4"/>
  <c r="H60" i="4" s="1"/>
  <c r="B60" i="4"/>
  <c r="B59" i="19"/>
  <c r="F59" i="19"/>
  <c r="H59" i="19" s="1"/>
  <c r="J137" i="22"/>
  <c r="H55" i="26"/>
  <c r="D57" i="23"/>
  <c r="E57" i="23" s="1"/>
  <c r="H52" i="31"/>
  <c r="I52" i="31" s="1"/>
  <c r="E59" i="18"/>
  <c r="F59" i="18" s="1"/>
  <c r="I55" i="22"/>
  <c r="B56" i="22"/>
  <c r="F56" i="22"/>
  <c r="H56" i="22" s="1"/>
  <c r="D136" i="35"/>
  <c r="G135" i="35"/>
  <c r="D143" i="4"/>
  <c r="G142" i="4"/>
  <c r="J142" i="23"/>
  <c r="J141" i="4"/>
  <c r="D135" i="37"/>
  <c r="G134" i="37"/>
  <c r="D136" i="31"/>
  <c r="G135" i="31"/>
  <c r="E138" i="25"/>
  <c r="F138" i="25" s="1"/>
  <c r="H138" i="25" s="1"/>
  <c r="B138" i="25"/>
  <c r="I137" i="25"/>
  <c r="J140" i="19"/>
  <c r="I134" i="38"/>
  <c r="F136" i="13"/>
  <c r="B136" i="13"/>
  <c r="I134" i="34"/>
  <c r="B135" i="34"/>
  <c r="D142" i="19"/>
  <c r="G141" i="19"/>
  <c r="G140" i="29"/>
  <c r="D141" i="29"/>
  <c r="B139" i="21"/>
  <c r="I138" i="24"/>
  <c r="I138" i="21"/>
  <c r="B139" i="27"/>
  <c r="B139" i="24"/>
  <c r="F139" i="24"/>
  <c r="H139" i="24" s="1"/>
  <c r="B135" i="38"/>
  <c r="H135" i="13"/>
  <c r="I135" i="13"/>
  <c r="I138" i="27"/>
  <c r="J141" i="3"/>
  <c r="G142" i="3"/>
  <c r="D143" i="3"/>
  <c r="G135" i="20"/>
  <c r="D136" i="20"/>
  <c r="E136" i="20" s="1"/>
  <c r="G143" i="23"/>
  <c r="D144" i="23"/>
  <c r="G138" i="22"/>
  <c r="D139" i="22"/>
  <c r="H51" i="39" l="1"/>
  <c r="D52" i="39"/>
  <c r="E52" i="39" s="1"/>
  <c r="G51" i="39"/>
  <c r="E135" i="39"/>
  <c r="B139" i="26"/>
  <c r="E142" i="19"/>
  <c r="F142" i="19" s="1"/>
  <c r="H142" i="19" s="1"/>
  <c r="E144" i="23"/>
  <c r="F144" i="23" s="1"/>
  <c r="H144" i="23" s="1"/>
  <c r="E136" i="35"/>
  <c r="F136" i="35" s="1"/>
  <c r="H136" i="35" s="1"/>
  <c r="E141" i="29"/>
  <c r="F141" i="29" s="1"/>
  <c r="H141" i="29" s="1"/>
  <c r="I134" i="39"/>
  <c r="B135" i="39"/>
  <c r="F135" i="39"/>
  <c r="H135" i="39" s="1"/>
  <c r="I57" i="24"/>
  <c r="E58" i="24"/>
  <c r="F58" i="24" s="1"/>
  <c r="G58" i="24" s="1"/>
  <c r="B58" i="24"/>
  <c r="E139" i="26"/>
  <c r="F139" i="26" s="1"/>
  <c r="H139" i="26" s="1"/>
  <c r="I138" i="26"/>
  <c r="H57" i="21"/>
  <c r="I57" i="21" s="1"/>
  <c r="G59" i="19"/>
  <c r="I59" i="19" s="1"/>
  <c r="E142" i="18"/>
  <c r="F142" i="18" s="1"/>
  <c r="H142" i="18" s="1"/>
  <c r="B142" i="18"/>
  <c r="I55" i="26"/>
  <c r="I141" i="18"/>
  <c r="D60" i="18"/>
  <c r="E60" i="18" s="1"/>
  <c r="H59" i="18"/>
  <c r="G59" i="18"/>
  <c r="F54" i="29"/>
  <c r="B57" i="28"/>
  <c r="B55" i="25"/>
  <c r="F55" i="25"/>
  <c r="D57" i="22"/>
  <c r="E57" i="22" s="1"/>
  <c r="D62" i="3"/>
  <c r="D61" i="4"/>
  <c r="E61" i="4" s="1"/>
  <c r="G61" i="3"/>
  <c r="B52" i="37"/>
  <c r="F52" i="37"/>
  <c r="H52" i="37" s="1"/>
  <c r="F56" i="26"/>
  <c r="G56" i="26" s="1"/>
  <c r="B56" i="26"/>
  <c r="B53" i="35"/>
  <c r="F53" i="35"/>
  <c r="H53" i="35" s="1"/>
  <c r="H61" i="3"/>
  <c r="D60" i="19"/>
  <c r="E60" i="19" s="1"/>
  <c r="F57" i="27"/>
  <c r="H57" i="27" s="1"/>
  <c r="B57" i="27"/>
  <c r="F51" i="38"/>
  <c r="G51" i="38" s="1"/>
  <c r="B51" i="38"/>
  <c r="F53" i="31"/>
  <c r="G53" i="31" s="1"/>
  <c r="B53" i="31"/>
  <c r="I54" i="13"/>
  <c r="I54" i="25"/>
  <c r="B55" i="13"/>
  <c r="G56" i="22"/>
  <c r="I56" i="22" s="1"/>
  <c r="F57" i="23"/>
  <c r="B57" i="23"/>
  <c r="G60" i="4"/>
  <c r="I60" i="4" s="1"/>
  <c r="F53" i="34"/>
  <c r="G53" i="34" s="1"/>
  <c r="B53" i="34"/>
  <c r="D58" i="21"/>
  <c r="E55" i="13"/>
  <c r="F55" i="13" s="1"/>
  <c r="B143" i="4"/>
  <c r="E143" i="4"/>
  <c r="F143" i="4" s="1"/>
  <c r="H143" i="4" s="1"/>
  <c r="I135" i="35"/>
  <c r="I142" i="4"/>
  <c r="B136" i="35"/>
  <c r="B140" i="28"/>
  <c r="I135" i="31"/>
  <c r="G138" i="25"/>
  <c r="D139" i="25"/>
  <c r="E136" i="31"/>
  <c r="F136" i="31" s="1"/>
  <c r="H136" i="31" s="1"/>
  <c r="B136" i="31"/>
  <c r="J138" i="24"/>
  <c r="I134" i="37"/>
  <c r="E135" i="37"/>
  <c r="F135" i="37" s="1"/>
  <c r="H135" i="37" s="1"/>
  <c r="B135" i="37"/>
  <c r="J138" i="21"/>
  <c r="J138" i="27"/>
  <c r="D136" i="34"/>
  <c r="G135" i="34"/>
  <c r="G135" i="38"/>
  <c r="D136" i="38"/>
  <c r="I140" i="29"/>
  <c r="D137" i="13"/>
  <c r="G136" i="13"/>
  <c r="G139" i="21"/>
  <c r="D140" i="21"/>
  <c r="I141" i="19"/>
  <c r="D140" i="24"/>
  <c r="G139" i="24"/>
  <c r="G139" i="27"/>
  <c r="D140" i="27"/>
  <c r="B142" i="19"/>
  <c r="I142" i="3"/>
  <c r="F136" i="20"/>
  <c r="B136" i="20"/>
  <c r="B139" i="22"/>
  <c r="I135" i="20"/>
  <c r="H135" i="20"/>
  <c r="I143" i="23"/>
  <c r="I138" i="22"/>
  <c r="B143" i="3"/>
  <c r="E139" i="22"/>
  <c r="F139" i="22" s="1"/>
  <c r="H139" i="22" s="1"/>
  <c r="E143" i="3"/>
  <c r="F143" i="3" s="1"/>
  <c r="H143" i="3" s="1"/>
  <c r="B52" i="39" l="1"/>
  <c r="F52" i="39"/>
  <c r="G52" i="39" s="1"/>
  <c r="I51" i="39"/>
  <c r="E140" i="21"/>
  <c r="F140" i="21" s="1"/>
  <c r="H140" i="21" s="1"/>
  <c r="E140" i="27"/>
  <c r="E140" i="24"/>
  <c r="F140" i="24" s="1"/>
  <c r="H140" i="24" s="1"/>
  <c r="E139" i="25"/>
  <c r="F139" i="25" s="1"/>
  <c r="H139" i="25" s="1"/>
  <c r="E136" i="38"/>
  <c r="E136" i="34"/>
  <c r="F136" i="34" s="1"/>
  <c r="H136" i="34" s="1"/>
  <c r="G135" i="39"/>
  <c r="D136" i="39"/>
  <c r="J138" i="26"/>
  <c r="H58" i="24"/>
  <c r="I58" i="24" s="1"/>
  <c r="D59" i="24"/>
  <c r="G139" i="26"/>
  <c r="D140" i="26"/>
  <c r="J139" i="28"/>
  <c r="G53" i="35"/>
  <c r="I53" i="35" s="1"/>
  <c r="H53" i="31"/>
  <c r="I53" i="31" s="1"/>
  <c r="H51" i="38"/>
  <c r="I51" i="38" s="1"/>
  <c r="I61" i="3"/>
  <c r="J141" i="18"/>
  <c r="H56" i="26"/>
  <c r="I56" i="26" s="1"/>
  <c r="G142" i="18"/>
  <c r="D143" i="18"/>
  <c r="G52" i="37"/>
  <c r="I52" i="37" s="1"/>
  <c r="D56" i="13"/>
  <c r="G55" i="13"/>
  <c r="H55" i="13"/>
  <c r="B58" i="21"/>
  <c r="D58" i="23"/>
  <c r="B62" i="3"/>
  <c r="H57" i="23"/>
  <c r="D54" i="35"/>
  <c r="E54" i="35" s="1"/>
  <c r="I59" i="18"/>
  <c r="D54" i="34"/>
  <c r="E54" i="34" s="1"/>
  <c r="D53" i="37"/>
  <c r="E53" i="37" s="1"/>
  <c r="D58" i="27"/>
  <c r="E58" i="27" s="1"/>
  <c r="F57" i="22"/>
  <c r="B57" i="22"/>
  <c r="B60" i="18"/>
  <c r="F60" i="18"/>
  <c r="H60" i="18" s="1"/>
  <c r="H53" i="34"/>
  <c r="I53" i="34" s="1"/>
  <c r="D54" i="31"/>
  <c r="E54" i="31" s="1"/>
  <c r="G57" i="27"/>
  <c r="I57" i="27" s="1"/>
  <c r="D56" i="25"/>
  <c r="E56" i="25" s="1"/>
  <c r="D55" i="29"/>
  <c r="E55" i="29" s="1"/>
  <c r="H55" i="25"/>
  <c r="G54" i="29"/>
  <c r="F60" i="19"/>
  <c r="H60" i="19" s="1"/>
  <c r="B60" i="19"/>
  <c r="D57" i="26"/>
  <c r="E57" i="26" s="1"/>
  <c r="F61" i="4"/>
  <c r="H61" i="4" s="1"/>
  <c r="B61" i="4"/>
  <c r="G55" i="25"/>
  <c r="H54" i="29"/>
  <c r="E58" i="21"/>
  <c r="F58" i="21" s="1"/>
  <c r="G57" i="23"/>
  <c r="D52" i="38"/>
  <c r="E52" i="38" s="1"/>
  <c r="E62" i="3"/>
  <c r="F62" i="3" s="1"/>
  <c r="D137" i="35"/>
  <c r="G136" i="35"/>
  <c r="J142" i="4"/>
  <c r="J142" i="3"/>
  <c r="G143" i="4"/>
  <c r="D144" i="4"/>
  <c r="G135" i="37"/>
  <c r="D136" i="37"/>
  <c r="J135" i="31"/>
  <c r="J141" i="19"/>
  <c r="G136" i="31"/>
  <c r="D137" i="31"/>
  <c r="B139" i="25"/>
  <c r="I138" i="25"/>
  <c r="B137" i="13"/>
  <c r="F136" i="38"/>
  <c r="H136" i="38" s="1"/>
  <c r="B136" i="38"/>
  <c r="E137" i="13"/>
  <c r="F137" i="13" s="1"/>
  <c r="I135" i="38"/>
  <c r="H136" i="13"/>
  <c r="I136" i="13"/>
  <c r="I135" i="34"/>
  <c r="I139" i="27"/>
  <c r="G142" i="19"/>
  <c r="D143" i="19"/>
  <c r="I139" i="24"/>
  <c r="B136" i="34"/>
  <c r="B140" i="24"/>
  <c r="B140" i="21"/>
  <c r="G141" i="29"/>
  <c r="D142" i="29"/>
  <c r="F140" i="27"/>
  <c r="H140" i="27" s="1"/>
  <c r="B140" i="27"/>
  <c r="I139" i="21"/>
  <c r="D144" i="3"/>
  <c r="G143" i="3"/>
  <c r="G139" i="22"/>
  <c r="D140" i="22"/>
  <c r="D137" i="20"/>
  <c r="E137" i="20" s="1"/>
  <c r="G136" i="20"/>
  <c r="J135" i="20"/>
  <c r="J138" i="22"/>
  <c r="J143" i="23"/>
  <c r="G144" i="23"/>
  <c r="D145" i="23"/>
  <c r="H52" i="39" l="1"/>
  <c r="I52" i="39" s="1"/>
  <c r="D53" i="39"/>
  <c r="E53" i="39" s="1"/>
  <c r="E143" i="19"/>
  <c r="E144" i="3"/>
  <c r="F144" i="3" s="1"/>
  <c r="H144" i="3" s="1"/>
  <c r="E140" i="22"/>
  <c r="E145" i="23"/>
  <c r="F145" i="23" s="1"/>
  <c r="H145" i="23" s="1"/>
  <c r="B136" i="37"/>
  <c r="B136" i="39"/>
  <c r="E136" i="39"/>
  <c r="F136" i="39" s="1"/>
  <c r="H136" i="39" s="1"/>
  <c r="I135" i="39"/>
  <c r="G60" i="18"/>
  <c r="I60" i="18" s="1"/>
  <c r="E59" i="24"/>
  <c r="F59" i="24" s="1"/>
  <c r="B59" i="24"/>
  <c r="E140" i="26"/>
  <c r="F140" i="26" s="1"/>
  <c r="H140" i="26" s="1"/>
  <c r="B140" i="26"/>
  <c r="I139" i="26"/>
  <c r="G61" i="4"/>
  <c r="I61" i="4" s="1"/>
  <c r="I55" i="13"/>
  <c r="I54" i="29"/>
  <c r="I57" i="28"/>
  <c r="G60" i="19"/>
  <c r="I60" i="19" s="1"/>
  <c r="E143" i="18"/>
  <c r="F143" i="18" s="1"/>
  <c r="H143" i="18" s="1"/>
  <c r="B143" i="18"/>
  <c r="I142" i="18"/>
  <c r="I55" i="25"/>
  <c r="D63" i="3"/>
  <c r="E63" i="3" s="1"/>
  <c r="G62" i="3"/>
  <c r="H62" i="3"/>
  <c r="D59" i="21"/>
  <c r="E59" i="21" s="1"/>
  <c r="G58" i="21"/>
  <c r="H58" i="21"/>
  <c r="B54" i="34"/>
  <c r="F54" i="34"/>
  <c r="H54" i="34" s="1"/>
  <c r="B57" i="26"/>
  <c r="F57" i="26"/>
  <c r="D58" i="22"/>
  <c r="E58" i="22" s="1"/>
  <c r="F55" i="29"/>
  <c r="H55" i="29" s="1"/>
  <c r="D61" i="18"/>
  <c r="B58" i="27"/>
  <c r="F58" i="27"/>
  <c r="H58" i="27" s="1"/>
  <c r="F56" i="25"/>
  <c r="H56" i="25" s="1"/>
  <c r="B56" i="25"/>
  <c r="B54" i="35"/>
  <c r="F54" i="35"/>
  <c r="G54" i="35" s="1"/>
  <c r="D61" i="19"/>
  <c r="E61" i="19" s="1"/>
  <c r="I57" i="23"/>
  <c r="B58" i="23"/>
  <c r="G57" i="22"/>
  <c r="F53" i="37"/>
  <c r="G53" i="37" s="1"/>
  <c r="B53" i="37"/>
  <c r="E58" i="23"/>
  <c r="F58" i="23" s="1"/>
  <c r="B56" i="13"/>
  <c r="F52" i="38"/>
  <c r="H52" i="38" s="1"/>
  <c r="B52" i="38"/>
  <c r="D62" i="4"/>
  <c r="E62" i="4" s="1"/>
  <c r="F54" i="31"/>
  <c r="G54" i="31" s="1"/>
  <c r="B54" i="31"/>
  <c r="H57" i="22"/>
  <c r="B58" i="28"/>
  <c r="E56" i="13"/>
  <c r="F56" i="13" s="1"/>
  <c r="I143" i="4"/>
  <c r="I136" i="35"/>
  <c r="E144" i="4"/>
  <c r="F144" i="4" s="1"/>
  <c r="H144" i="4" s="1"/>
  <c r="B144" i="4"/>
  <c r="E136" i="37"/>
  <c r="F136" i="37" s="1"/>
  <c r="H136" i="37" s="1"/>
  <c r="E137" i="35"/>
  <c r="F137" i="35" s="1"/>
  <c r="H137" i="35" s="1"/>
  <c r="B137" i="35"/>
  <c r="E137" i="31"/>
  <c r="F137" i="31" s="1"/>
  <c r="H137" i="31" s="1"/>
  <c r="B137" i="31"/>
  <c r="I136" i="31"/>
  <c r="D140" i="25"/>
  <c r="G139" i="25"/>
  <c r="B141" i="28"/>
  <c r="I135" i="37"/>
  <c r="J139" i="27"/>
  <c r="J139" i="24"/>
  <c r="J139" i="21"/>
  <c r="I141" i="29"/>
  <c r="D138" i="13"/>
  <c r="E138" i="13" s="1"/>
  <c r="G137" i="13"/>
  <c r="G140" i="27"/>
  <c r="D141" i="27"/>
  <c r="D137" i="34"/>
  <c r="G136" i="34"/>
  <c r="I142" i="19"/>
  <c r="G140" i="21"/>
  <c r="D141" i="21"/>
  <c r="E142" i="29"/>
  <c r="F142" i="29" s="1"/>
  <c r="H142" i="29" s="1"/>
  <c r="G140" i="24"/>
  <c r="D141" i="24"/>
  <c r="F143" i="19"/>
  <c r="H143" i="19" s="1"/>
  <c r="B143" i="19"/>
  <c r="G136" i="38"/>
  <c r="D137" i="38"/>
  <c r="I136" i="20"/>
  <c r="H136" i="20"/>
  <c r="I139" i="22"/>
  <c r="I144" i="23"/>
  <c r="F137" i="20"/>
  <c r="B137" i="20"/>
  <c r="I143" i="3"/>
  <c r="F140" i="22"/>
  <c r="H140" i="22" s="1"/>
  <c r="B140" i="22"/>
  <c r="B144" i="3"/>
  <c r="F53" i="39" l="1"/>
  <c r="B53" i="39"/>
  <c r="G53" i="39"/>
  <c r="E141" i="21"/>
  <c r="F141" i="21" s="1"/>
  <c r="H141" i="21" s="1"/>
  <c r="E141" i="24"/>
  <c r="F141" i="24" s="1"/>
  <c r="H141" i="24" s="1"/>
  <c r="E141" i="27"/>
  <c r="E137" i="38"/>
  <c r="F137" i="38" s="1"/>
  <c r="H137" i="38" s="1"/>
  <c r="D137" i="39"/>
  <c r="G136" i="39"/>
  <c r="G54" i="34"/>
  <c r="I54" i="34" s="1"/>
  <c r="D60" i="24"/>
  <c r="E60" i="24" s="1"/>
  <c r="F60" i="24" s="1"/>
  <c r="D61" i="24" s="1"/>
  <c r="H59" i="24"/>
  <c r="G59" i="24"/>
  <c r="D141" i="26"/>
  <c r="G140" i="26"/>
  <c r="J139" i="26"/>
  <c r="J136" i="31"/>
  <c r="J140" i="28"/>
  <c r="H54" i="35"/>
  <c r="I54" i="35" s="1"/>
  <c r="I62" i="3"/>
  <c r="G143" i="18"/>
  <c r="D144" i="18"/>
  <c r="H58" i="23"/>
  <c r="G58" i="23"/>
  <c r="J142" i="18"/>
  <c r="D57" i="13"/>
  <c r="E57" i="13" s="1"/>
  <c r="H56" i="13"/>
  <c r="G56" i="13"/>
  <c r="B61" i="18"/>
  <c r="D58" i="26"/>
  <c r="E58" i="26" s="1"/>
  <c r="I58" i="21"/>
  <c r="D53" i="38"/>
  <c r="E53" i="38" s="1"/>
  <c r="D57" i="25"/>
  <c r="D55" i="31"/>
  <c r="E55" i="31" s="1"/>
  <c r="D54" i="37"/>
  <c r="E54" i="37" s="1"/>
  <c r="F61" i="19"/>
  <c r="G61" i="19" s="1"/>
  <c r="B61" i="19"/>
  <c r="G56" i="25"/>
  <c r="I56" i="25" s="1"/>
  <c r="D56" i="29"/>
  <c r="E56" i="29" s="1"/>
  <c r="H57" i="26"/>
  <c r="H54" i="31"/>
  <c r="I54" i="31" s="1"/>
  <c r="G55" i="29"/>
  <c r="I55" i="29" s="1"/>
  <c r="G57" i="26"/>
  <c r="F59" i="21"/>
  <c r="H59" i="21" s="1"/>
  <c r="B59" i="21"/>
  <c r="D59" i="27"/>
  <c r="E59" i="27" s="1"/>
  <c r="B62" i="4"/>
  <c r="F62" i="4"/>
  <c r="D55" i="35"/>
  <c r="E55" i="35" s="1"/>
  <c r="G58" i="27"/>
  <c r="I58" i="27" s="1"/>
  <c r="I58" i="28"/>
  <c r="D55" i="34"/>
  <c r="E55" i="34" s="1"/>
  <c r="I57" i="22"/>
  <c r="G52" i="38"/>
  <c r="I52" i="38" s="1"/>
  <c r="H53" i="37"/>
  <c r="I53" i="37" s="1"/>
  <c r="D59" i="23"/>
  <c r="E59" i="23" s="1"/>
  <c r="E61" i="18"/>
  <c r="F61" i="18" s="1"/>
  <c r="B58" i="22"/>
  <c r="F58" i="22"/>
  <c r="G58" i="22" s="1"/>
  <c r="B63" i="3"/>
  <c r="F63" i="3"/>
  <c r="G63" i="3" s="1"/>
  <c r="G144" i="4"/>
  <c r="D145" i="4"/>
  <c r="D137" i="37"/>
  <c r="G136" i="37"/>
  <c r="G137" i="35"/>
  <c r="D138" i="35"/>
  <c r="J143" i="4"/>
  <c r="E140" i="25"/>
  <c r="F140" i="25" s="1"/>
  <c r="H140" i="25" s="1"/>
  <c r="B140" i="25"/>
  <c r="G137" i="31"/>
  <c r="D138" i="31"/>
  <c r="I139" i="25"/>
  <c r="G142" i="29"/>
  <c r="D143" i="29"/>
  <c r="B137" i="34"/>
  <c r="H137" i="13"/>
  <c r="I137" i="13"/>
  <c r="I136" i="38"/>
  <c r="B141" i="21"/>
  <c r="B141" i="27"/>
  <c r="F141" i="27"/>
  <c r="H141" i="27" s="1"/>
  <c r="F138" i="13"/>
  <c r="B138" i="13"/>
  <c r="I140" i="21"/>
  <c r="I140" i="27"/>
  <c r="B137" i="38"/>
  <c r="G143" i="19"/>
  <c r="D144" i="19"/>
  <c r="J143" i="3"/>
  <c r="J142" i="19"/>
  <c r="B141" i="24"/>
  <c r="E137" i="34"/>
  <c r="F137" i="34" s="1"/>
  <c r="H137" i="34" s="1"/>
  <c r="J144" i="23"/>
  <c r="I140" i="24"/>
  <c r="I136" i="34"/>
  <c r="J139" i="22"/>
  <c r="G140" i="22"/>
  <c r="D141" i="22"/>
  <c r="J136" i="20"/>
  <c r="G137" i="20"/>
  <c r="D138" i="20"/>
  <c r="E138" i="20" s="1"/>
  <c r="G144" i="3"/>
  <c r="D145" i="3"/>
  <c r="G145" i="23"/>
  <c r="D146" i="23"/>
  <c r="H53" i="39" l="1"/>
  <c r="I53" i="39" s="1"/>
  <c r="D54" i="39"/>
  <c r="E54" i="39" s="1"/>
  <c r="E144" i="19"/>
  <c r="F144" i="19" s="1"/>
  <c r="H144" i="19" s="1"/>
  <c r="E146" i="23"/>
  <c r="F146" i="23" s="1"/>
  <c r="H146" i="23" s="1"/>
  <c r="E145" i="3"/>
  <c r="F145" i="3" s="1"/>
  <c r="H145" i="3" s="1"/>
  <c r="B144" i="18"/>
  <c r="E141" i="22"/>
  <c r="F141" i="22" s="1"/>
  <c r="H141" i="22" s="1"/>
  <c r="E138" i="35"/>
  <c r="F138" i="35" s="1"/>
  <c r="H138" i="35" s="1"/>
  <c r="E138" i="31"/>
  <c r="F138" i="31" s="1"/>
  <c r="H138" i="31" s="1"/>
  <c r="E143" i="29"/>
  <c r="F143" i="29" s="1"/>
  <c r="H143" i="29" s="1"/>
  <c r="I136" i="39"/>
  <c r="E137" i="39"/>
  <c r="F137" i="39" s="1"/>
  <c r="H137" i="39" s="1"/>
  <c r="B137" i="39"/>
  <c r="I59" i="24"/>
  <c r="E61" i="24"/>
  <c r="F61" i="24" s="1"/>
  <c r="B61" i="24"/>
  <c r="B60" i="24"/>
  <c r="G60" i="24"/>
  <c r="H60" i="24"/>
  <c r="I140" i="26"/>
  <c r="E141" i="26"/>
  <c r="F141" i="26" s="1"/>
  <c r="H141" i="26" s="1"/>
  <c r="B141" i="26"/>
  <c r="E144" i="18"/>
  <c r="F144" i="18" s="1"/>
  <c r="H144" i="18" s="1"/>
  <c r="G59" i="21"/>
  <c r="I59" i="21" s="1"/>
  <c r="I58" i="23"/>
  <c r="I57" i="26"/>
  <c r="I143" i="18"/>
  <c r="D62" i="18"/>
  <c r="E62" i="18" s="1"/>
  <c r="H61" i="18"/>
  <c r="G61" i="18"/>
  <c r="B55" i="35"/>
  <c r="F55" i="35"/>
  <c r="H55" i="35" s="1"/>
  <c r="B57" i="25"/>
  <c r="D64" i="3"/>
  <c r="E64" i="3" s="1"/>
  <c r="D63" i="4"/>
  <c r="E63" i="4" s="1"/>
  <c r="B59" i="28"/>
  <c r="D62" i="19"/>
  <c r="E62" i="19" s="1"/>
  <c r="B59" i="23"/>
  <c r="F59" i="23"/>
  <c r="F53" i="38"/>
  <c r="G53" i="38" s="1"/>
  <c r="B53" i="38"/>
  <c r="H63" i="3"/>
  <c r="I63" i="3" s="1"/>
  <c r="G62" i="4"/>
  <c r="B54" i="37"/>
  <c r="F54" i="37"/>
  <c r="H54" i="37" s="1"/>
  <c r="H62" i="4"/>
  <c r="D60" i="21"/>
  <c r="E60" i="21" s="1"/>
  <c r="F56" i="29"/>
  <c r="D59" i="22"/>
  <c r="E59" i="22" s="1"/>
  <c r="B55" i="31"/>
  <c r="F55" i="31"/>
  <c r="B58" i="26"/>
  <c r="F58" i="26"/>
  <c r="G58" i="26" s="1"/>
  <c r="I56" i="13"/>
  <c r="B59" i="27"/>
  <c r="F59" i="27"/>
  <c r="H59" i="27" s="1"/>
  <c r="H61" i="19"/>
  <c r="I61" i="19" s="1"/>
  <c r="H58" i="22"/>
  <c r="I58" i="22" s="1"/>
  <c r="B55" i="34"/>
  <c r="F55" i="34"/>
  <c r="H55" i="34" s="1"/>
  <c r="E57" i="25"/>
  <c r="F57" i="25" s="1"/>
  <c r="B57" i="13"/>
  <c r="F57" i="13"/>
  <c r="B138" i="35"/>
  <c r="I136" i="37"/>
  <c r="I137" i="35"/>
  <c r="B137" i="37"/>
  <c r="E137" i="37"/>
  <c r="F137" i="37" s="1"/>
  <c r="H137" i="37" s="1"/>
  <c r="B145" i="4"/>
  <c r="E145" i="4"/>
  <c r="F145" i="4" s="1"/>
  <c r="H145" i="4" s="1"/>
  <c r="I144" i="4"/>
  <c r="B142" i="28"/>
  <c r="B138" i="31"/>
  <c r="I137" i="31"/>
  <c r="D141" i="25"/>
  <c r="G140" i="25"/>
  <c r="J140" i="21"/>
  <c r="D138" i="34"/>
  <c r="G137" i="34"/>
  <c r="G141" i="24"/>
  <c r="D142" i="24"/>
  <c r="I143" i="19"/>
  <c r="B144" i="19"/>
  <c r="D142" i="21"/>
  <c r="G141" i="21"/>
  <c r="D142" i="27"/>
  <c r="G141" i="27"/>
  <c r="D138" i="38"/>
  <c r="G137" i="38"/>
  <c r="J140" i="27"/>
  <c r="J140" i="24"/>
  <c r="G138" i="13"/>
  <c r="D139" i="13"/>
  <c r="I142" i="29"/>
  <c r="I144" i="3"/>
  <c r="I145" i="23"/>
  <c r="H137" i="20"/>
  <c r="I137" i="20"/>
  <c r="F138" i="20"/>
  <c r="B138" i="20"/>
  <c r="I140" i="22"/>
  <c r="B145" i="3"/>
  <c r="B141" i="22"/>
  <c r="B54" i="39" l="1"/>
  <c r="F54" i="39"/>
  <c r="H54" i="39" s="1"/>
  <c r="E142" i="27"/>
  <c r="F142" i="27" s="1"/>
  <c r="H142" i="27" s="1"/>
  <c r="E142" i="24"/>
  <c r="F142" i="24" s="1"/>
  <c r="H142" i="24" s="1"/>
  <c r="E138" i="38"/>
  <c r="F138" i="38" s="1"/>
  <c r="H138" i="38" s="1"/>
  <c r="E138" i="34"/>
  <c r="D138" i="39"/>
  <c r="G137" i="39"/>
  <c r="I60" i="24"/>
  <c r="G61" i="24"/>
  <c r="D62" i="24"/>
  <c r="H61" i="24"/>
  <c r="J143" i="18"/>
  <c r="J140" i="26"/>
  <c r="J137" i="20"/>
  <c r="D142" i="26"/>
  <c r="G141" i="26"/>
  <c r="I62" i="4"/>
  <c r="G55" i="34"/>
  <c r="I55" i="34" s="1"/>
  <c r="H53" i="38"/>
  <c r="I53" i="38" s="1"/>
  <c r="J143" i="19"/>
  <c r="G144" i="18"/>
  <c r="D145" i="18"/>
  <c r="G59" i="27"/>
  <c r="I59" i="27" s="1"/>
  <c r="I59" i="28"/>
  <c r="J144" i="4"/>
  <c r="D58" i="25"/>
  <c r="E58" i="25" s="1"/>
  <c r="G57" i="25"/>
  <c r="H57" i="25"/>
  <c r="D56" i="31"/>
  <c r="E56" i="31" s="1"/>
  <c r="D57" i="29"/>
  <c r="E57" i="29" s="1"/>
  <c r="D60" i="23"/>
  <c r="E60" i="23" s="1"/>
  <c r="F63" i="4"/>
  <c r="H63" i="4" s="1"/>
  <c r="B63" i="4"/>
  <c r="D56" i="35"/>
  <c r="E56" i="35" s="1"/>
  <c r="D58" i="13"/>
  <c r="E58" i="13" s="1"/>
  <c r="D59" i="26"/>
  <c r="E59" i="26" s="1"/>
  <c r="F60" i="21"/>
  <c r="G60" i="21" s="1"/>
  <c r="B60" i="21"/>
  <c r="B62" i="19"/>
  <c r="F62" i="19"/>
  <c r="H62" i="19" s="1"/>
  <c r="B64" i="3"/>
  <c r="F64" i="3"/>
  <c r="H64" i="3" s="1"/>
  <c r="G55" i="35"/>
  <c r="I55" i="35" s="1"/>
  <c r="G57" i="13"/>
  <c r="H58" i="26"/>
  <c r="I58" i="26" s="1"/>
  <c r="H57" i="13"/>
  <c r="F59" i="22"/>
  <c r="G59" i="22" s="1"/>
  <c r="B59" i="22"/>
  <c r="D55" i="37"/>
  <c r="E55" i="37" s="1"/>
  <c r="D54" i="38"/>
  <c r="E54" i="38" s="1"/>
  <c r="I61" i="18"/>
  <c r="H55" i="31"/>
  <c r="H56" i="29"/>
  <c r="G59" i="23"/>
  <c r="J144" i="3"/>
  <c r="D56" i="34"/>
  <c r="E56" i="34" s="1"/>
  <c r="D60" i="27"/>
  <c r="E60" i="27" s="1"/>
  <c r="G55" i="31"/>
  <c r="G56" i="29"/>
  <c r="G54" i="37"/>
  <c r="I54" i="37" s="1"/>
  <c r="H59" i="23"/>
  <c r="F62" i="18"/>
  <c r="H62" i="18" s="1"/>
  <c r="B62" i="18"/>
  <c r="G137" i="37"/>
  <c r="D138" i="37"/>
  <c r="J145" i="23"/>
  <c r="J141" i="28"/>
  <c r="J137" i="31"/>
  <c r="D139" i="35"/>
  <c r="G138" i="35"/>
  <c r="G145" i="4"/>
  <c r="D146" i="4"/>
  <c r="G138" i="31"/>
  <c r="D139" i="31"/>
  <c r="I140" i="25"/>
  <c r="E141" i="25"/>
  <c r="F141" i="25" s="1"/>
  <c r="H141" i="25" s="1"/>
  <c r="B141" i="25"/>
  <c r="D144" i="29"/>
  <c r="G143" i="29"/>
  <c r="B138" i="38"/>
  <c r="I137" i="38"/>
  <c r="D145" i="19"/>
  <c r="G144" i="19"/>
  <c r="B142" i="24"/>
  <c r="B142" i="21"/>
  <c r="B139" i="13"/>
  <c r="I141" i="24"/>
  <c r="E139" i="13"/>
  <c r="F139" i="13" s="1"/>
  <c r="I141" i="27"/>
  <c r="E142" i="21"/>
  <c r="F142" i="21" s="1"/>
  <c r="H142" i="21" s="1"/>
  <c r="I137" i="34"/>
  <c r="I138" i="13"/>
  <c r="H138" i="13"/>
  <c r="B142" i="27"/>
  <c r="I141" i="21"/>
  <c r="B138" i="34"/>
  <c r="F138" i="34"/>
  <c r="H138" i="34" s="1"/>
  <c r="D142" i="22"/>
  <c r="G141" i="22"/>
  <c r="G145" i="3"/>
  <c r="D146" i="3"/>
  <c r="D139" i="20"/>
  <c r="E139" i="20" s="1"/>
  <c r="G138" i="20"/>
  <c r="G146" i="23"/>
  <c r="D147" i="23"/>
  <c r="J140" i="22"/>
  <c r="G54" i="39" l="1"/>
  <c r="I54" i="39" s="1"/>
  <c r="D55" i="39"/>
  <c r="E55" i="39" s="1"/>
  <c r="E145" i="19"/>
  <c r="E146" i="3"/>
  <c r="F146" i="3" s="1"/>
  <c r="H146" i="3" s="1"/>
  <c r="B138" i="37"/>
  <c r="E144" i="29"/>
  <c r="F144" i="29" s="1"/>
  <c r="H144" i="29" s="1"/>
  <c r="I137" i="39"/>
  <c r="E138" i="39"/>
  <c r="F138" i="39" s="1"/>
  <c r="H138" i="39" s="1"/>
  <c r="B138" i="39"/>
  <c r="I61" i="24"/>
  <c r="E62" i="24"/>
  <c r="F62" i="24" s="1"/>
  <c r="G62" i="24" s="1"/>
  <c r="B62" i="24"/>
  <c r="H59" i="22"/>
  <c r="I59" i="22" s="1"/>
  <c r="I141" i="26"/>
  <c r="E142" i="26"/>
  <c r="F142" i="26" s="1"/>
  <c r="H142" i="26" s="1"/>
  <c r="B142" i="26"/>
  <c r="I59" i="23"/>
  <c r="J141" i="27"/>
  <c r="E145" i="18"/>
  <c r="F145" i="18" s="1"/>
  <c r="H145" i="18" s="1"/>
  <c r="B145" i="18"/>
  <c r="I144" i="18"/>
  <c r="G62" i="18"/>
  <c r="I62" i="18" s="1"/>
  <c r="G64" i="3"/>
  <c r="I64" i="3" s="1"/>
  <c r="G62" i="19"/>
  <c r="I62" i="19" s="1"/>
  <c r="I57" i="25"/>
  <c r="G63" i="4"/>
  <c r="I63" i="4" s="1"/>
  <c r="I55" i="31"/>
  <c r="B56" i="35"/>
  <c r="F56" i="35"/>
  <c r="G56" i="35" s="1"/>
  <c r="J141" i="21"/>
  <c r="D61" i="21"/>
  <c r="E61" i="21" s="1"/>
  <c r="F57" i="29"/>
  <c r="G57" i="29" s="1"/>
  <c r="D63" i="18"/>
  <c r="E63" i="18" s="1"/>
  <c r="B60" i="27"/>
  <c r="F60" i="27"/>
  <c r="G60" i="27" s="1"/>
  <c r="D60" i="22"/>
  <c r="E60" i="22" s="1"/>
  <c r="B59" i="26"/>
  <c r="F59" i="26"/>
  <c r="H59" i="26" s="1"/>
  <c r="B56" i="31"/>
  <c r="F56" i="31"/>
  <c r="B60" i="28"/>
  <c r="B56" i="34"/>
  <c r="F56" i="34"/>
  <c r="I57" i="13"/>
  <c r="D65" i="3"/>
  <c r="E65" i="3" s="1"/>
  <c r="D64" i="4"/>
  <c r="E64" i="4" s="1"/>
  <c r="B54" i="38"/>
  <c r="F54" i="38"/>
  <c r="H54" i="38" s="1"/>
  <c r="B58" i="13"/>
  <c r="F58" i="13"/>
  <c r="I56" i="29"/>
  <c r="B55" i="37"/>
  <c r="F55" i="37"/>
  <c r="H55" i="37" s="1"/>
  <c r="D63" i="19"/>
  <c r="E63" i="19" s="1"/>
  <c r="H60" i="21"/>
  <c r="I60" i="21" s="1"/>
  <c r="F60" i="23"/>
  <c r="H60" i="23" s="1"/>
  <c r="B60" i="23"/>
  <c r="B58" i="25"/>
  <c r="F58" i="25"/>
  <c r="H58" i="25" s="1"/>
  <c r="I138" i="35"/>
  <c r="E139" i="35"/>
  <c r="F139" i="35" s="1"/>
  <c r="H139" i="35" s="1"/>
  <c r="B139" i="35"/>
  <c r="E138" i="37"/>
  <c r="F138" i="37" s="1"/>
  <c r="H138" i="37" s="1"/>
  <c r="E146" i="4"/>
  <c r="F146" i="4" s="1"/>
  <c r="H146" i="4" s="1"/>
  <c r="B146" i="4"/>
  <c r="I145" i="4"/>
  <c r="I137" i="37"/>
  <c r="G141" i="25"/>
  <c r="D142" i="25"/>
  <c r="B143" i="28"/>
  <c r="E139" i="31"/>
  <c r="F139" i="31" s="1"/>
  <c r="H139" i="31" s="1"/>
  <c r="B139" i="31"/>
  <c r="I138" i="31"/>
  <c r="D140" i="13"/>
  <c r="E140" i="13" s="1"/>
  <c r="G139" i="13"/>
  <c r="G142" i="21"/>
  <c r="D143" i="21"/>
  <c r="B145" i="19"/>
  <c r="F145" i="19"/>
  <c r="H145" i="19" s="1"/>
  <c r="G142" i="27"/>
  <c r="D143" i="27"/>
  <c r="G142" i="24"/>
  <c r="D143" i="24"/>
  <c r="G138" i="38"/>
  <c r="D139" i="38"/>
  <c r="D139" i="34"/>
  <c r="G138" i="34"/>
  <c r="J141" i="24"/>
  <c r="I143" i="29"/>
  <c r="I144" i="19"/>
  <c r="I145" i="3"/>
  <c r="B146" i="3"/>
  <c r="E147" i="23"/>
  <c r="F147" i="23" s="1"/>
  <c r="H147" i="23" s="1"/>
  <c r="I141" i="22"/>
  <c r="I146" i="23"/>
  <c r="B142" i="22"/>
  <c r="F139" i="20"/>
  <c r="B139" i="20"/>
  <c r="I138" i="20"/>
  <c r="H138" i="20"/>
  <c r="E142" i="22"/>
  <c r="F142" i="22" s="1"/>
  <c r="H142" i="22" s="1"/>
  <c r="F55" i="39" l="1"/>
  <c r="B55" i="39"/>
  <c r="G55" i="39"/>
  <c r="E143" i="21"/>
  <c r="F143" i="21" s="1"/>
  <c r="H143" i="21" s="1"/>
  <c r="E143" i="24"/>
  <c r="E143" i="27"/>
  <c r="E139" i="38"/>
  <c r="F139" i="38" s="1"/>
  <c r="H139" i="38" s="1"/>
  <c r="E139" i="34"/>
  <c r="F139" i="34" s="1"/>
  <c r="H139" i="34" s="1"/>
  <c r="D139" i="39"/>
  <c r="G138" i="39"/>
  <c r="H62" i="24"/>
  <c r="I62" i="24" s="1"/>
  <c r="D63" i="24"/>
  <c r="D143" i="26"/>
  <c r="G142" i="26"/>
  <c r="G59" i="26"/>
  <c r="I59" i="26" s="1"/>
  <c r="J141" i="26"/>
  <c r="J144" i="18"/>
  <c r="D146" i="18"/>
  <c r="G145" i="18"/>
  <c r="H56" i="35"/>
  <c r="I56" i="35" s="1"/>
  <c r="G55" i="37"/>
  <c r="I55" i="37" s="1"/>
  <c r="G58" i="25"/>
  <c r="I58" i="25" s="1"/>
  <c r="I60" i="28"/>
  <c r="G60" i="23"/>
  <c r="I60" i="23" s="1"/>
  <c r="B65" i="3"/>
  <c r="F65" i="3"/>
  <c r="D61" i="27"/>
  <c r="E61" i="27" s="1"/>
  <c r="B61" i="21"/>
  <c r="F61" i="21"/>
  <c r="D55" i="38"/>
  <c r="E55" i="38" s="1"/>
  <c r="D60" i="26"/>
  <c r="E60" i="26" s="1"/>
  <c r="D61" i="23"/>
  <c r="E61" i="23" s="1"/>
  <c r="D57" i="34"/>
  <c r="E57" i="34" s="1"/>
  <c r="D57" i="31"/>
  <c r="E57" i="31" s="1"/>
  <c r="D59" i="13"/>
  <c r="E59" i="13" s="1"/>
  <c r="H56" i="31"/>
  <c r="B63" i="18"/>
  <c r="F63" i="18"/>
  <c r="H63" i="18" s="1"/>
  <c r="G54" i="38"/>
  <c r="I54" i="38" s="1"/>
  <c r="G56" i="34"/>
  <c r="B60" i="22"/>
  <c r="F60" i="22"/>
  <c r="G60" i="22" s="1"/>
  <c r="D57" i="35"/>
  <c r="E57" i="35" s="1"/>
  <c r="D59" i="25"/>
  <c r="E59" i="25" s="1"/>
  <c r="B63" i="19"/>
  <c r="F63" i="19"/>
  <c r="G63" i="19" s="1"/>
  <c r="G58" i="13"/>
  <c r="H56" i="34"/>
  <c r="G56" i="31"/>
  <c r="D58" i="29"/>
  <c r="E58" i="29" s="1"/>
  <c r="D56" i="37"/>
  <c r="E56" i="37" s="1"/>
  <c r="H58" i="13"/>
  <c r="F64" i="4"/>
  <c r="H64" i="4" s="1"/>
  <c r="B64" i="4"/>
  <c r="H60" i="27"/>
  <c r="I60" i="27" s="1"/>
  <c r="H57" i="29"/>
  <c r="I57" i="29" s="1"/>
  <c r="D140" i="35"/>
  <c r="G139" i="35"/>
  <c r="J138" i="31"/>
  <c r="D147" i="4"/>
  <c r="G146" i="4"/>
  <c r="G138" i="37"/>
  <c r="D139" i="37"/>
  <c r="J145" i="4"/>
  <c r="G139" i="31"/>
  <c r="D140" i="31"/>
  <c r="J142" i="28"/>
  <c r="E142" i="25"/>
  <c r="F142" i="25" s="1"/>
  <c r="H142" i="25" s="1"/>
  <c r="B142" i="25"/>
  <c r="J141" i="22"/>
  <c r="I141" i="25"/>
  <c r="J146" i="23"/>
  <c r="J138" i="20"/>
  <c r="B139" i="38"/>
  <c r="G144" i="29"/>
  <c r="D145" i="29"/>
  <c r="B143" i="21"/>
  <c r="I138" i="38"/>
  <c r="F143" i="27"/>
  <c r="H143" i="27" s="1"/>
  <c r="B143" i="27"/>
  <c r="I142" i="21"/>
  <c r="I142" i="27"/>
  <c r="H139" i="13"/>
  <c r="I139" i="13"/>
  <c r="I138" i="34"/>
  <c r="B143" i="24"/>
  <c r="F143" i="24"/>
  <c r="H143" i="24" s="1"/>
  <c r="G145" i="19"/>
  <c r="D146" i="19"/>
  <c r="J144" i="19"/>
  <c r="B139" i="34"/>
  <c r="I142" i="24"/>
  <c r="F140" i="13"/>
  <c r="B140" i="13"/>
  <c r="D148" i="23"/>
  <c r="G147" i="23"/>
  <c r="D143" i="22"/>
  <c r="G142" i="22"/>
  <c r="G146" i="3"/>
  <c r="D147" i="3"/>
  <c r="D140" i="20"/>
  <c r="E140" i="20" s="1"/>
  <c r="G139" i="20"/>
  <c r="J145" i="3"/>
  <c r="H55" i="39" l="1"/>
  <c r="I55" i="39" s="1"/>
  <c r="D56" i="39"/>
  <c r="E143" i="22"/>
  <c r="E148" i="23"/>
  <c r="F148" i="23" s="1"/>
  <c r="H148" i="23" s="1"/>
  <c r="E139" i="37"/>
  <c r="F139" i="37" s="1"/>
  <c r="H139" i="37" s="1"/>
  <c r="E145" i="29"/>
  <c r="F145" i="29" s="1"/>
  <c r="H145" i="29" s="1"/>
  <c r="I138" i="39"/>
  <c r="E139" i="39"/>
  <c r="F139" i="39" s="1"/>
  <c r="H139" i="39" s="1"/>
  <c r="B139" i="39"/>
  <c r="E63" i="24"/>
  <c r="F63" i="24" s="1"/>
  <c r="G63" i="24" s="1"/>
  <c r="B63" i="24"/>
  <c r="G64" i="4"/>
  <c r="I64" i="4" s="1"/>
  <c r="I142" i="26"/>
  <c r="E143" i="26"/>
  <c r="F143" i="26" s="1"/>
  <c r="H143" i="26" s="1"/>
  <c r="B143" i="26"/>
  <c r="J142" i="27"/>
  <c r="I145" i="18"/>
  <c r="E146" i="18"/>
  <c r="F146" i="18" s="1"/>
  <c r="H146" i="18" s="1"/>
  <c r="B146" i="18"/>
  <c r="H63" i="19"/>
  <c r="I63" i="19" s="1"/>
  <c r="H60" i="22"/>
  <c r="I60" i="22" s="1"/>
  <c r="I56" i="31"/>
  <c r="D66" i="3"/>
  <c r="E66" i="3" s="1"/>
  <c r="F58" i="29"/>
  <c r="G58" i="29" s="1"/>
  <c r="F61" i="23"/>
  <c r="B61" i="23"/>
  <c r="D62" i="21"/>
  <c r="E62" i="21" s="1"/>
  <c r="G65" i="3"/>
  <c r="F59" i="25"/>
  <c r="H59" i="25" s="1"/>
  <c r="B59" i="25"/>
  <c r="B59" i="13"/>
  <c r="F59" i="13"/>
  <c r="H59" i="13" s="1"/>
  <c r="H61" i="21"/>
  <c r="I56" i="34"/>
  <c r="B60" i="26"/>
  <c r="F60" i="26"/>
  <c r="H60" i="26" s="1"/>
  <c r="G61" i="21"/>
  <c r="D65" i="4"/>
  <c r="E65" i="4" s="1"/>
  <c r="B57" i="35"/>
  <c r="F57" i="35"/>
  <c r="F57" i="31"/>
  <c r="H57" i="31" s="1"/>
  <c r="B57" i="31"/>
  <c r="I58" i="13"/>
  <c r="D64" i="18"/>
  <c r="E64" i="18" s="1"/>
  <c r="B61" i="28"/>
  <c r="B57" i="34"/>
  <c r="F57" i="34"/>
  <c r="F61" i="27"/>
  <c r="B61" i="27"/>
  <c r="F56" i="37"/>
  <c r="G56" i="37" s="1"/>
  <c r="B56" i="37"/>
  <c r="D64" i="19"/>
  <c r="E64" i="19" s="1"/>
  <c r="D61" i="22"/>
  <c r="E61" i="22" s="1"/>
  <c r="G63" i="18"/>
  <c r="I63" i="18" s="1"/>
  <c r="F55" i="38"/>
  <c r="H55" i="38" s="1"/>
  <c r="B55" i="38"/>
  <c r="H65" i="3"/>
  <c r="B139" i="37"/>
  <c r="I138" i="37"/>
  <c r="I146" i="4"/>
  <c r="B147" i="4"/>
  <c r="E147" i="4"/>
  <c r="F147" i="4" s="1"/>
  <c r="H147" i="4" s="1"/>
  <c r="I139" i="35"/>
  <c r="E140" i="35"/>
  <c r="F140" i="35" s="1"/>
  <c r="H140" i="35" s="1"/>
  <c r="B140" i="35"/>
  <c r="G142" i="25"/>
  <c r="D143" i="25"/>
  <c r="B144" i="28"/>
  <c r="B140" i="31"/>
  <c r="I139" i="31"/>
  <c r="E140" i="31"/>
  <c r="F140" i="31" s="1"/>
  <c r="H140" i="31" s="1"/>
  <c r="B146" i="19"/>
  <c r="I145" i="19"/>
  <c r="J142" i="21"/>
  <c r="D140" i="38"/>
  <c r="G139" i="38"/>
  <c r="G143" i="24"/>
  <c r="D144" i="24"/>
  <c r="G143" i="27"/>
  <c r="D144" i="27"/>
  <c r="I144" i="29"/>
  <c r="J142" i="24"/>
  <c r="G143" i="21"/>
  <c r="D144" i="21"/>
  <c r="D141" i="13"/>
  <c r="E141" i="13" s="1"/>
  <c r="G140" i="13"/>
  <c r="D140" i="34"/>
  <c r="G139" i="34"/>
  <c r="E146" i="19"/>
  <c r="F146" i="19" s="1"/>
  <c r="H146" i="19" s="1"/>
  <c r="I142" i="22"/>
  <c r="B147" i="3"/>
  <c r="I146" i="3"/>
  <c r="H139" i="20"/>
  <c r="I139" i="20"/>
  <c r="B143" i="22"/>
  <c r="F143" i="22"/>
  <c r="H143" i="22" s="1"/>
  <c r="I147" i="23"/>
  <c r="E147" i="3"/>
  <c r="F147" i="3" s="1"/>
  <c r="H147" i="3" s="1"/>
  <c r="B140" i="20"/>
  <c r="F140" i="20"/>
  <c r="E56" i="39" l="1"/>
  <c r="B56" i="39"/>
  <c r="F56" i="39"/>
  <c r="D57" i="39" s="1"/>
  <c r="E144" i="27"/>
  <c r="F144" i="27" s="1"/>
  <c r="H144" i="27" s="1"/>
  <c r="E144" i="21"/>
  <c r="F144" i="21" s="1"/>
  <c r="H144" i="21" s="1"/>
  <c r="E144" i="24"/>
  <c r="F144" i="24" s="1"/>
  <c r="H144" i="24" s="1"/>
  <c r="E140" i="38"/>
  <c r="F140" i="38" s="1"/>
  <c r="H140" i="38" s="1"/>
  <c r="D140" i="39"/>
  <c r="E140" i="39" s="1"/>
  <c r="G139" i="39"/>
  <c r="I65" i="3"/>
  <c r="H63" i="24"/>
  <c r="I63" i="24" s="1"/>
  <c r="D64" i="24"/>
  <c r="J142" i="26"/>
  <c r="D144" i="26"/>
  <c r="G143" i="26"/>
  <c r="J145" i="18"/>
  <c r="D147" i="18"/>
  <c r="G146" i="18"/>
  <c r="J146" i="3"/>
  <c r="G57" i="31"/>
  <c r="I57" i="31" s="1"/>
  <c r="H56" i="37"/>
  <c r="I56" i="37" s="1"/>
  <c r="I61" i="28"/>
  <c r="G59" i="25"/>
  <c r="I59" i="25" s="1"/>
  <c r="H58" i="29"/>
  <c r="I58" i="29" s="1"/>
  <c r="I61" i="21"/>
  <c r="D62" i="27"/>
  <c r="E62" i="27" s="1"/>
  <c r="D58" i="35"/>
  <c r="E58" i="35" s="1"/>
  <c r="F64" i="19"/>
  <c r="H64" i="19" s="1"/>
  <c r="B64" i="19"/>
  <c r="G61" i="27"/>
  <c r="D62" i="23"/>
  <c r="J139" i="31"/>
  <c r="D56" i="38"/>
  <c r="E56" i="38" s="1"/>
  <c r="D58" i="34"/>
  <c r="E58" i="34" s="1"/>
  <c r="D60" i="25"/>
  <c r="E60" i="25" s="1"/>
  <c r="B65" i="4"/>
  <c r="F65" i="4"/>
  <c r="G65" i="4" s="1"/>
  <c r="G55" i="38"/>
  <c r="I55" i="38" s="1"/>
  <c r="H57" i="34"/>
  <c r="D58" i="31"/>
  <c r="E58" i="31" s="1"/>
  <c r="D60" i="13"/>
  <c r="E60" i="13" s="1"/>
  <c r="D59" i="29"/>
  <c r="E59" i="29" s="1"/>
  <c r="D57" i="37"/>
  <c r="G57" i="34"/>
  <c r="F64" i="18"/>
  <c r="H64" i="18" s="1"/>
  <c r="B64" i="18"/>
  <c r="D61" i="26"/>
  <c r="E61" i="26" s="1"/>
  <c r="B62" i="21"/>
  <c r="F62" i="21"/>
  <c r="G62" i="21" s="1"/>
  <c r="H61" i="27"/>
  <c r="H57" i="35"/>
  <c r="G59" i="13"/>
  <c r="I59" i="13" s="1"/>
  <c r="H61" i="23"/>
  <c r="F66" i="3"/>
  <c r="G66" i="3" s="1"/>
  <c r="B66" i="3"/>
  <c r="B61" i="22"/>
  <c r="F61" i="22"/>
  <c r="H61" i="22" s="1"/>
  <c r="G57" i="35"/>
  <c r="G60" i="26"/>
  <c r="I60" i="26" s="1"/>
  <c r="G61" i="23"/>
  <c r="D148" i="4"/>
  <c r="G147" i="4"/>
  <c r="J146" i="4"/>
  <c r="D141" i="35"/>
  <c r="G140" i="35"/>
  <c r="D140" i="37"/>
  <c r="G139" i="37"/>
  <c r="J143" i="28"/>
  <c r="D141" i="31"/>
  <c r="G140" i="31"/>
  <c r="E143" i="25"/>
  <c r="F143" i="25" s="1"/>
  <c r="H143" i="25" s="1"/>
  <c r="B143" i="25"/>
  <c r="J139" i="20"/>
  <c r="J145" i="19"/>
  <c r="I142" i="25"/>
  <c r="G146" i="19"/>
  <c r="D147" i="19"/>
  <c r="B140" i="34"/>
  <c r="G145" i="29"/>
  <c r="D146" i="29"/>
  <c r="B144" i="21"/>
  <c r="I143" i="21"/>
  <c r="B144" i="24"/>
  <c r="I139" i="34"/>
  <c r="I143" i="24"/>
  <c r="I140" i="13"/>
  <c r="H140" i="13"/>
  <c r="B144" i="27"/>
  <c r="B140" i="38"/>
  <c r="E140" i="34"/>
  <c r="F140" i="34" s="1"/>
  <c r="H140" i="34" s="1"/>
  <c r="B141" i="13"/>
  <c r="F141" i="13"/>
  <c r="I143" i="27"/>
  <c r="I139" i="38"/>
  <c r="G148" i="23"/>
  <c r="D149" i="23"/>
  <c r="J147" i="23"/>
  <c r="D144" i="22"/>
  <c r="G143" i="22"/>
  <c r="D148" i="3"/>
  <c r="G147" i="3"/>
  <c r="G140" i="20"/>
  <c r="D141" i="20"/>
  <c r="E141" i="20" s="1"/>
  <c r="J142" i="22"/>
  <c r="G56" i="39" l="1"/>
  <c r="E57" i="39"/>
  <c r="F57" i="39" s="1"/>
  <c r="G57" i="39" s="1"/>
  <c r="B57" i="39"/>
  <c r="H56" i="39"/>
  <c r="E148" i="3"/>
  <c r="F148" i="3" s="1"/>
  <c r="H148" i="3" s="1"/>
  <c r="E144" i="22"/>
  <c r="F144" i="22" s="1"/>
  <c r="H144" i="22" s="1"/>
  <c r="E140" i="37"/>
  <c r="F140" i="37" s="1"/>
  <c r="H140" i="37" s="1"/>
  <c r="E146" i="29"/>
  <c r="F146" i="29" s="1"/>
  <c r="H146" i="29" s="1"/>
  <c r="B145" i="28"/>
  <c r="I139" i="39"/>
  <c r="F140" i="39"/>
  <c r="H140" i="39" s="1"/>
  <c r="B140" i="39"/>
  <c r="E64" i="24"/>
  <c r="F64" i="24" s="1"/>
  <c r="G64" i="24" s="1"/>
  <c r="B64" i="24"/>
  <c r="I143" i="26"/>
  <c r="E144" i="26"/>
  <c r="F144" i="26" s="1"/>
  <c r="H144" i="26" s="1"/>
  <c r="B144" i="26"/>
  <c r="I146" i="18"/>
  <c r="E147" i="18"/>
  <c r="F147" i="18" s="1"/>
  <c r="H147" i="18" s="1"/>
  <c r="B147" i="18"/>
  <c r="H66" i="3"/>
  <c r="I66" i="3" s="1"/>
  <c r="G64" i="18"/>
  <c r="I64" i="18" s="1"/>
  <c r="H65" i="4"/>
  <c r="I65" i="4" s="1"/>
  <c r="I61" i="23"/>
  <c r="I57" i="35"/>
  <c r="I61" i="27"/>
  <c r="B57" i="37"/>
  <c r="B62" i="28"/>
  <c r="B56" i="38"/>
  <c r="F56" i="38"/>
  <c r="H56" i="38" s="1"/>
  <c r="D62" i="22"/>
  <c r="E62" i="22" s="1"/>
  <c r="B61" i="26"/>
  <c r="F61" i="26"/>
  <c r="F59" i="29"/>
  <c r="B62" i="23"/>
  <c r="D65" i="19"/>
  <c r="E65" i="19" s="1"/>
  <c r="G61" i="22"/>
  <c r="I61" i="22" s="1"/>
  <c r="F60" i="25"/>
  <c r="H60" i="25" s="1"/>
  <c r="B60" i="25"/>
  <c r="E62" i="23"/>
  <c r="F62" i="23" s="1"/>
  <c r="D65" i="18"/>
  <c r="E65" i="18" s="1"/>
  <c r="F60" i="13"/>
  <c r="G60" i="13" s="1"/>
  <c r="B60" i="13"/>
  <c r="D66" i="4"/>
  <c r="E66" i="4" s="1"/>
  <c r="D63" i="21"/>
  <c r="E63" i="21" s="1"/>
  <c r="F58" i="34"/>
  <c r="H58" i="34" s="1"/>
  <c r="B58" i="34"/>
  <c r="B58" i="35"/>
  <c r="F58" i="35"/>
  <c r="H58" i="35" s="1"/>
  <c r="D67" i="3"/>
  <c r="H62" i="21"/>
  <c r="I62" i="21" s="1"/>
  <c r="F58" i="31"/>
  <c r="H58" i="31" s="1"/>
  <c r="B58" i="31"/>
  <c r="E57" i="37"/>
  <c r="F57" i="37" s="1"/>
  <c r="I57" i="34"/>
  <c r="G64" i="19"/>
  <c r="I64" i="19" s="1"/>
  <c r="B62" i="27"/>
  <c r="F62" i="27"/>
  <c r="G62" i="27" s="1"/>
  <c r="B140" i="37"/>
  <c r="I140" i="35"/>
  <c r="B141" i="35"/>
  <c r="E141" i="35"/>
  <c r="F141" i="35" s="1"/>
  <c r="H141" i="35" s="1"/>
  <c r="I147" i="4"/>
  <c r="I139" i="37"/>
  <c r="E148" i="4"/>
  <c r="F148" i="4" s="1"/>
  <c r="H148" i="4" s="1"/>
  <c r="B148" i="4"/>
  <c r="G143" i="25"/>
  <c r="D144" i="25"/>
  <c r="I140" i="31"/>
  <c r="E141" i="31"/>
  <c r="F141" i="31" s="1"/>
  <c r="H141" i="31" s="1"/>
  <c r="B141" i="31"/>
  <c r="D145" i="21"/>
  <c r="G144" i="21"/>
  <c r="J143" i="24"/>
  <c r="G140" i="34"/>
  <c r="D141" i="34"/>
  <c r="G144" i="24"/>
  <c r="D145" i="24"/>
  <c r="J143" i="21"/>
  <c r="D141" i="38"/>
  <c r="G140" i="38"/>
  <c r="D145" i="27"/>
  <c r="G144" i="27"/>
  <c r="B147" i="19"/>
  <c r="J143" i="27"/>
  <c r="I145" i="29"/>
  <c r="E147" i="19"/>
  <c r="F147" i="19" s="1"/>
  <c r="H147" i="19" s="1"/>
  <c r="D142" i="13"/>
  <c r="E142" i="13" s="1"/>
  <c r="G141" i="13"/>
  <c r="I146" i="19"/>
  <c r="B144" i="22"/>
  <c r="I143" i="22"/>
  <c r="I140" i="20"/>
  <c r="H140" i="20"/>
  <c r="I147" i="3"/>
  <c r="I148" i="23"/>
  <c r="E149" i="23"/>
  <c r="F149" i="23" s="1"/>
  <c r="H149" i="23" s="1"/>
  <c r="B141" i="20"/>
  <c r="F141" i="20"/>
  <c r="B148" i="3"/>
  <c r="I56" i="39" l="1"/>
  <c r="H57" i="39"/>
  <c r="I57" i="39" s="1"/>
  <c r="D58" i="39"/>
  <c r="E145" i="21"/>
  <c r="F145" i="21" s="1"/>
  <c r="H145" i="21" s="1"/>
  <c r="B144" i="25"/>
  <c r="E145" i="27"/>
  <c r="E141" i="38"/>
  <c r="F141" i="38" s="1"/>
  <c r="H141" i="38" s="1"/>
  <c r="E141" i="34"/>
  <c r="F141" i="34" s="1"/>
  <c r="H141" i="34" s="1"/>
  <c r="G140" i="39"/>
  <c r="D141" i="39"/>
  <c r="B146" i="28"/>
  <c r="H64" i="24"/>
  <c r="I64" i="24" s="1"/>
  <c r="D65" i="24"/>
  <c r="D145" i="26"/>
  <c r="G144" i="26"/>
  <c r="J143" i="26"/>
  <c r="E144" i="25"/>
  <c r="F144" i="25" s="1"/>
  <c r="D145" i="25" s="1"/>
  <c r="G147" i="18"/>
  <c r="D148" i="18"/>
  <c r="J144" i="28"/>
  <c r="J146" i="18"/>
  <c r="H62" i="27"/>
  <c r="I62" i="27" s="1"/>
  <c r="J147" i="4"/>
  <c r="G60" i="25"/>
  <c r="I60" i="25" s="1"/>
  <c r="D58" i="37"/>
  <c r="E58" i="37" s="1"/>
  <c r="H57" i="37"/>
  <c r="G57" i="37"/>
  <c r="B67" i="3"/>
  <c r="D59" i="34"/>
  <c r="E59" i="34" s="1"/>
  <c r="D63" i="23"/>
  <c r="E63" i="23" s="1"/>
  <c r="D60" i="29"/>
  <c r="B62" i="22"/>
  <c r="F62" i="22"/>
  <c r="H62" i="22" s="1"/>
  <c r="D63" i="27"/>
  <c r="E63" i="27" s="1"/>
  <c r="G58" i="35"/>
  <c r="I58" i="35" s="1"/>
  <c r="D61" i="13"/>
  <c r="E61" i="13" s="1"/>
  <c r="H59" i="29"/>
  <c r="G59" i="29"/>
  <c r="D59" i="31"/>
  <c r="E59" i="31" s="1"/>
  <c r="D59" i="35"/>
  <c r="B63" i="21"/>
  <c r="F63" i="21"/>
  <c r="F65" i="18"/>
  <c r="G65" i="18" s="1"/>
  <c r="B65" i="18"/>
  <c r="F65" i="19"/>
  <c r="G65" i="19" s="1"/>
  <c r="B65" i="19"/>
  <c r="D62" i="26"/>
  <c r="E62" i="26" s="1"/>
  <c r="D57" i="38"/>
  <c r="J140" i="31"/>
  <c r="G58" i="31"/>
  <c r="I58" i="31" s="1"/>
  <c r="G62" i="23"/>
  <c r="G58" i="34"/>
  <c r="I58" i="34" s="1"/>
  <c r="F66" i="4"/>
  <c r="H66" i="4" s="1"/>
  <c r="B66" i="4"/>
  <c r="H62" i="23"/>
  <c r="H61" i="26"/>
  <c r="G56" i="38"/>
  <c r="I56" i="38" s="1"/>
  <c r="E67" i="3"/>
  <c r="F67" i="3" s="1"/>
  <c r="H60" i="13"/>
  <c r="I60" i="13" s="1"/>
  <c r="D61" i="25"/>
  <c r="E61" i="25" s="1"/>
  <c r="G61" i="26"/>
  <c r="G141" i="35"/>
  <c r="D142" i="35"/>
  <c r="G148" i="4"/>
  <c r="D149" i="4"/>
  <c r="J146" i="19"/>
  <c r="D141" i="37"/>
  <c r="G140" i="37"/>
  <c r="D142" i="31"/>
  <c r="G141" i="31"/>
  <c r="I143" i="25"/>
  <c r="D148" i="19"/>
  <c r="G147" i="19"/>
  <c r="I144" i="24"/>
  <c r="H141" i="13"/>
  <c r="I141" i="13"/>
  <c r="F142" i="13"/>
  <c r="B142" i="13"/>
  <c r="I144" i="27"/>
  <c r="B141" i="34"/>
  <c r="J140" i="20"/>
  <c r="B145" i="27"/>
  <c r="F145" i="27"/>
  <c r="H145" i="27" s="1"/>
  <c r="I140" i="34"/>
  <c r="I144" i="21"/>
  <c r="B145" i="24"/>
  <c r="J143" i="22"/>
  <c r="I140" i="38"/>
  <c r="B145" i="21"/>
  <c r="J148" i="23"/>
  <c r="G146" i="29"/>
  <c r="D147" i="29"/>
  <c r="B141" i="38"/>
  <c r="E145" i="24"/>
  <c r="F145" i="24" s="1"/>
  <c r="H145" i="24" s="1"/>
  <c r="G149" i="23"/>
  <c r="D150" i="23"/>
  <c r="G144" i="22"/>
  <c r="D145" i="22"/>
  <c r="J147" i="3"/>
  <c r="G148" i="3"/>
  <c r="D149" i="3"/>
  <c r="D142" i="20"/>
  <c r="E142" i="20" s="1"/>
  <c r="G141" i="20"/>
  <c r="H144" i="25" l="1"/>
  <c r="E58" i="39"/>
  <c r="F58" i="39" s="1"/>
  <c r="H58" i="39" s="1"/>
  <c r="B58" i="39"/>
  <c r="E145" i="25"/>
  <c r="F145" i="25" s="1"/>
  <c r="E145" i="22"/>
  <c r="F145" i="22" s="1"/>
  <c r="H145" i="22" s="1"/>
  <c r="E149" i="3"/>
  <c r="F149" i="3" s="1"/>
  <c r="H149" i="3" s="1"/>
  <c r="B142" i="35"/>
  <c r="E142" i="31"/>
  <c r="F142" i="31" s="1"/>
  <c r="H142" i="31" s="1"/>
  <c r="E147" i="29"/>
  <c r="F147" i="29" s="1"/>
  <c r="H147" i="29" s="1"/>
  <c r="B141" i="39"/>
  <c r="I140" i="39"/>
  <c r="E141" i="39"/>
  <c r="F141" i="39" s="1"/>
  <c r="H141" i="39" s="1"/>
  <c r="J145" i="28"/>
  <c r="G144" i="25"/>
  <c r="I144" i="25" s="1"/>
  <c r="E65" i="24"/>
  <c r="F65" i="24" s="1"/>
  <c r="H65" i="24" s="1"/>
  <c r="B65" i="24"/>
  <c r="B145" i="25"/>
  <c r="I144" i="26"/>
  <c r="E145" i="26"/>
  <c r="F145" i="26" s="1"/>
  <c r="H145" i="26" s="1"/>
  <c r="B145" i="26"/>
  <c r="I62" i="28"/>
  <c r="E148" i="18"/>
  <c r="F148" i="18" s="1"/>
  <c r="H148" i="18" s="1"/>
  <c r="B148" i="18"/>
  <c r="I147" i="18"/>
  <c r="I59" i="29"/>
  <c r="H65" i="19"/>
  <c r="I65" i="19" s="1"/>
  <c r="I57" i="37"/>
  <c r="I61" i="26"/>
  <c r="D68" i="3"/>
  <c r="E68" i="3" s="1"/>
  <c r="G67" i="3"/>
  <c r="H67" i="3"/>
  <c r="G66" i="4"/>
  <c r="I66" i="4" s="1"/>
  <c r="B57" i="38"/>
  <c r="H65" i="18"/>
  <c r="I65" i="18" s="1"/>
  <c r="B59" i="35"/>
  <c r="F61" i="25"/>
  <c r="H61" i="25" s="1"/>
  <c r="B61" i="25"/>
  <c r="D67" i="4"/>
  <c r="E67" i="4" s="1"/>
  <c r="B62" i="26"/>
  <c r="F62" i="26"/>
  <c r="D66" i="18"/>
  <c r="E66" i="18" s="1"/>
  <c r="F59" i="31"/>
  <c r="G59" i="31" s="1"/>
  <c r="B59" i="31"/>
  <c r="B63" i="27"/>
  <c r="F63" i="27"/>
  <c r="G63" i="27" s="1"/>
  <c r="F58" i="37"/>
  <c r="H58" i="37" s="1"/>
  <c r="B58" i="37"/>
  <c r="D64" i="21"/>
  <c r="E64" i="21" s="1"/>
  <c r="B63" i="23"/>
  <c r="F63" i="23"/>
  <c r="H63" i="23" s="1"/>
  <c r="E142" i="35"/>
  <c r="F142" i="35" s="1"/>
  <c r="H142" i="35" s="1"/>
  <c r="G63" i="21"/>
  <c r="D63" i="22"/>
  <c r="E63" i="22" s="1"/>
  <c r="H63" i="21"/>
  <c r="B59" i="34"/>
  <c r="F59" i="34"/>
  <c r="H59" i="34" s="1"/>
  <c r="I62" i="23"/>
  <c r="D66" i="19"/>
  <c r="E66" i="19" s="1"/>
  <c r="G62" i="22"/>
  <c r="I62" i="22" s="1"/>
  <c r="B63" i="28"/>
  <c r="E57" i="38"/>
  <c r="F57" i="38" s="1"/>
  <c r="E59" i="35"/>
  <c r="F59" i="35" s="1"/>
  <c r="F61" i="13"/>
  <c r="H61" i="13" s="1"/>
  <c r="B61" i="13"/>
  <c r="E60" i="29"/>
  <c r="F60" i="29" s="1"/>
  <c r="E141" i="37"/>
  <c r="F141" i="37" s="1"/>
  <c r="H141" i="37" s="1"/>
  <c r="B141" i="37"/>
  <c r="I140" i="37"/>
  <c r="E149" i="4"/>
  <c r="F149" i="4" s="1"/>
  <c r="H149" i="4" s="1"/>
  <c r="B149" i="4"/>
  <c r="I148" i="4"/>
  <c r="I141" i="35"/>
  <c r="J144" i="21"/>
  <c r="I141" i="31"/>
  <c r="B142" i="31"/>
  <c r="G145" i="24"/>
  <c r="D146" i="24"/>
  <c r="D143" i="13"/>
  <c r="E143" i="13" s="1"/>
  <c r="G142" i="13"/>
  <c r="J144" i="24"/>
  <c r="I147" i="19"/>
  <c r="B148" i="19"/>
  <c r="B147" i="28"/>
  <c r="G141" i="34"/>
  <c r="D142" i="34"/>
  <c r="E148" i="19"/>
  <c r="F148" i="19" s="1"/>
  <c r="H148" i="19" s="1"/>
  <c r="I146" i="29"/>
  <c r="G141" i="38"/>
  <c r="D142" i="38"/>
  <c r="D146" i="27"/>
  <c r="G145" i="27"/>
  <c r="J144" i="27"/>
  <c r="G145" i="21"/>
  <c r="D146" i="21"/>
  <c r="B149" i="3"/>
  <c r="I148" i="3"/>
  <c r="E150" i="23"/>
  <c r="F150" i="23" s="1"/>
  <c r="H150" i="23" s="1"/>
  <c r="I144" i="22"/>
  <c r="I141" i="20"/>
  <c r="H141" i="20"/>
  <c r="F142" i="20"/>
  <c r="B142" i="20"/>
  <c r="B145" i="22"/>
  <c r="I149" i="23"/>
  <c r="G58" i="39" l="1"/>
  <c r="I58" i="39" s="1"/>
  <c r="D59" i="39"/>
  <c r="D146" i="25"/>
  <c r="E146" i="25" s="1"/>
  <c r="F146" i="25" s="1"/>
  <c r="H146" i="25" s="1"/>
  <c r="H145" i="25"/>
  <c r="E146" i="24"/>
  <c r="F146" i="24" s="1"/>
  <c r="H146" i="24" s="1"/>
  <c r="E146" i="27"/>
  <c r="F146" i="27" s="1"/>
  <c r="H146" i="27" s="1"/>
  <c r="G145" i="25"/>
  <c r="I145" i="25" s="1"/>
  <c r="E146" i="21"/>
  <c r="F146" i="21" s="1"/>
  <c r="H146" i="21" s="1"/>
  <c r="E142" i="38"/>
  <c r="F142" i="38" s="1"/>
  <c r="H142" i="38" s="1"/>
  <c r="E142" i="34"/>
  <c r="F142" i="34" s="1"/>
  <c r="H142" i="34" s="1"/>
  <c r="G141" i="39"/>
  <c r="D142" i="39"/>
  <c r="G65" i="24"/>
  <c r="I65" i="24" s="1"/>
  <c r="D66" i="24"/>
  <c r="J147" i="18"/>
  <c r="G145" i="26"/>
  <c r="D146" i="26"/>
  <c r="J148" i="4"/>
  <c r="J144" i="26"/>
  <c r="I67" i="3"/>
  <c r="J146" i="28"/>
  <c r="D149" i="18"/>
  <c r="G148" i="18"/>
  <c r="I63" i="28"/>
  <c r="G63" i="23"/>
  <c r="I63" i="23" s="1"/>
  <c r="I63" i="21"/>
  <c r="G59" i="34"/>
  <c r="I59" i="34" s="1"/>
  <c r="D61" i="29"/>
  <c r="E61" i="29" s="1"/>
  <c r="H60" i="29"/>
  <c r="G60" i="29"/>
  <c r="D60" i="35"/>
  <c r="E60" i="35" s="1"/>
  <c r="H59" i="35"/>
  <c r="G59" i="35"/>
  <c r="D58" i="38"/>
  <c r="E58" i="38" s="1"/>
  <c r="G57" i="38"/>
  <c r="H57" i="38"/>
  <c r="D59" i="37"/>
  <c r="E59" i="37" s="1"/>
  <c r="D60" i="31"/>
  <c r="D62" i="13"/>
  <c r="E62" i="13" s="1"/>
  <c r="F67" i="4"/>
  <c r="G67" i="4" s="1"/>
  <c r="B67" i="4"/>
  <c r="B66" i="19"/>
  <c r="F66" i="19"/>
  <c r="H66" i="19" s="1"/>
  <c r="D64" i="27"/>
  <c r="E64" i="27" s="1"/>
  <c r="B66" i="18"/>
  <c r="F66" i="18"/>
  <c r="D62" i="25"/>
  <c r="E62" i="25" s="1"/>
  <c r="B63" i="22"/>
  <c r="F63" i="22"/>
  <c r="H63" i="27"/>
  <c r="I63" i="27" s="1"/>
  <c r="D63" i="26"/>
  <c r="E63" i="26" s="1"/>
  <c r="F64" i="21"/>
  <c r="G64" i="21" s="1"/>
  <c r="B64" i="21"/>
  <c r="H62" i="26"/>
  <c r="G61" i="25"/>
  <c r="I61" i="25" s="1"/>
  <c r="D60" i="34"/>
  <c r="E60" i="34" s="1"/>
  <c r="D143" i="35"/>
  <c r="G142" i="35"/>
  <c r="G62" i="26"/>
  <c r="G61" i="13"/>
  <c r="I61" i="13" s="1"/>
  <c r="D64" i="23"/>
  <c r="E64" i="23" s="1"/>
  <c r="G58" i="37"/>
  <c r="I58" i="37" s="1"/>
  <c r="H59" i="31"/>
  <c r="I59" i="31" s="1"/>
  <c r="B68" i="3"/>
  <c r="F68" i="3"/>
  <c r="H68" i="3" s="1"/>
  <c r="J141" i="31"/>
  <c r="D142" i="37"/>
  <c r="G141" i="37"/>
  <c r="G149" i="4"/>
  <c r="D150" i="4"/>
  <c r="D143" i="31"/>
  <c r="G142" i="31"/>
  <c r="J147" i="19"/>
  <c r="J148" i="3"/>
  <c r="D149" i="19"/>
  <c r="G148" i="19"/>
  <c r="B142" i="38"/>
  <c r="B146" i="21"/>
  <c r="I141" i="38"/>
  <c r="H142" i="13"/>
  <c r="I142" i="13"/>
  <c r="I145" i="21"/>
  <c r="G147" i="29"/>
  <c r="D148" i="29"/>
  <c r="B143" i="13"/>
  <c r="F143" i="13"/>
  <c r="I141" i="34"/>
  <c r="I145" i="27"/>
  <c r="B146" i="24"/>
  <c r="J149" i="23"/>
  <c r="J144" i="22"/>
  <c r="B146" i="27"/>
  <c r="B142" i="34"/>
  <c r="I145" i="24"/>
  <c r="G149" i="3"/>
  <c r="D150" i="3"/>
  <c r="D151" i="23"/>
  <c r="G150" i="23"/>
  <c r="J141" i="20"/>
  <c r="G145" i="22"/>
  <c r="D146" i="22"/>
  <c r="D143" i="20"/>
  <c r="E143" i="20" s="1"/>
  <c r="G142" i="20"/>
  <c r="B146" i="25" l="1"/>
  <c r="E59" i="39"/>
  <c r="F59" i="39" s="1"/>
  <c r="G59" i="39" s="1"/>
  <c r="B59" i="39"/>
  <c r="E146" i="22"/>
  <c r="F146" i="22" s="1"/>
  <c r="H146" i="22" s="1"/>
  <c r="E151" i="23"/>
  <c r="F151" i="23" s="1"/>
  <c r="H151" i="23" s="1"/>
  <c r="E150" i="3"/>
  <c r="F150" i="3" s="1"/>
  <c r="H150" i="3" s="1"/>
  <c r="E142" i="39"/>
  <c r="F142" i="39" s="1"/>
  <c r="H142" i="39" s="1"/>
  <c r="E148" i="29"/>
  <c r="F148" i="29" s="1"/>
  <c r="H148" i="29" s="1"/>
  <c r="B142" i="39"/>
  <c r="I141" i="39"/>
  <c r="E66" i="24"/>
  <c r="F66" i="24" s="1"/>
  <c r="H66" i="24" s="1"/>
  <c r="B66" i="24"/>
  <c r="I57" i="38"/>
  <c r="E146" i="26"/>
  <c r="F146" i="26" s="1"/>
  <c r="H146" i="26" s="1"/>
  <c r="B146" i="26"/>
  <c r="I145" i="26"/>
  <c r="I148" i="18"/>
  <c r="B149" i="18"/>
  <c r="E149" i="18"/>
  <c r="F149" i="18" s="1"/>
  <c r="H149" i="18" s="1"/>
  <c r="H67" i="4"/>
  <c r="I67" i="4" s="1"/>
  <c r="G66" i="19"/>
  <c r="I66" i="19" s="1"/>
  <c r="I62" i="26"/>
  <c r="I59" i="35"/>
  <c r="B60" i="31"/>
  <c r="B64" i="23"/>
  <c r="F64" i="23"/>
  <c r="F60" i="34"/>
  <c r="B60" i="34"/>
  <c r="B62" i="25"/>
  <c r="F62" i="25"/>
  <c r="B63" i="26"/>
  <c r="F63" i="26"/>
  <c r="G63" i="26" s="1"/>
  <c r="D67" i="18"/>
  <c r="E67" i="18" s="1"/>
  <c r="B59" i="37"/>
  <c r="F59" i="37"/>
  <c r="H59" i="37" s="1"/>
  <c r="F60" i="35"/>
  <c r="B60" i="35"/>
  <c r="D69" i="3"/>
  <c r="E69" i="3" s="1"/>
  <c r="B64" i="28"/>
  <c r="G66" i="18"/>
  <c r="D68" i="4"/>
  <c r="E68" i="4" s="1"/>
  <c r="D64" i="22"/>
  <c r="E64" i="22" s="1"/>
  <c r="I60" i="29"/>
  <c r="G68" i="3"/>
  <c r="I68" i="3" s="1"/>
  <c r="G63" i="22"/>
  <c r="H66" i="18"/>
  <c r="D67" i="19"/>
  <c r="E67" i="19" s="1"/>
  <c r="I142" i="35"/>
  <c r="D65" i="21"/>
  <c r="E65" i="21" s="1"/>
  <c r="B62" i="13"/>
  <c r="F62" i="13"/>
  <c r="B58" i="38"/>
  <c r="F58" i="38"/>
  <c r="H58" i="38" s="1"/>
  <c r="F61" i="29"/>
  <c r="G61" i="29" s="1"/>
  <c r="E143" i="35"/>
  <c r="F143" i="35" s="1"/>
  <c r="H143" i="35" s="1"/>
  <c r="B143" i="35"/>
  <c r="H64" i="21"/>
  <c r="I64" i="21" s="1"/>
  <c r="H63" i="22"/>
  <c r="B64" i="27"/>
  <c r="F64" i="27"/>
  <c r="H64" i="27" s="1"/>
  <c r="E60" i="31"/>
  <c r="F60" i="31" s="1"/>
  <c r="E150" i="4"/>
  <c r="F150" i="4" s="1"/>
  <c r="H150" i="4" s="1"/>
  <c r="B150" i="4"/>
  <c r="I149" i="4"/>
  <c r="I141" i="37"/>
  <c r="E142" i="37"/>
  <c r="F142" i="37" s="1"/>
  <c r="H142" i="37" s="1"/>
  <c r="B142" i="37"/>
  <c r="I142" i="31"/>
  <c r="E143" i="31"/>
  <c r="F143" i="31" s="1"/>
  <c r="H143" i="31" s="1"/>
  <c r="B143" i="31"/>
  <c r="J145" i="24"/>
  <c r="G146" i="25"/>
  <c r="D147" i="25"/>
  <c r="D143" i="34"/>
  <c r="G142" i="34"/>
  <c r="D144" i="13"/>
  <c r="G143" i="13"/>
  <c r="B149" i="19"/>
  <c r="D147" i="21"/>
  <c r="G146" i="21"/>
  <c r="D147" i="24"/>
  <c r="G146" i="24"/>
  <c r="I147" i="29"/>
  <c r="G146" i="27"/>
  <c r="D147" i="27"/>
  <c r="E149" i="19"/>
  <c r="F149" i="19" s="1"/>
  <c r="H149" i="19" s="1"/>
  <c r="B148" i="28"/>
  <c r="D143" i="38"/>
  <c r="G142" i="38"/>
  <c r="J145" i="27"/>
  <c r="J145" i="21"/>
  <c r="I148" i="19"/>
  <c r="H142" i="20"/>
  <c r="I142" i="20"/>
  <c r="B143" i="20"/>
  <c r="F143" i="20"/>
  <c r="B146" i="22"/>
  <c r="I149" i="3"/>
  <c r="B150" i="3"/>
  <c r="I145" i="22"/>
  <c r="I150" i="23"/>
  <c r="H59" i="39" l="1"/>
  <c r="I59" i="39" s="1"/>
  <c r="D60" i="39"/>
  <c r="E147" i="21"/>
  <c r="F147" i="21" s="1"/>
  <c r="H147" i="21" s="1"/>
  <c r="E147" i="27"/>
  <c r="F147" i="27" s="1"/>
  <c r="H147" i="27" s="1"/>
  <c r="E147" i="24"/>
  <c r="F147" i="24" s="1"/>
  <c r="H147" i="24" s="1"/>
  <c r="E143" i="34"/>
  <c r="F143" i="34" s="1"/>
  <c r="H143" i="34" s="1"/>
  <c r="G142" i="39"/>
  <c r="D143" i="39"/>
  <c r="G66" i="24"/>
  <c r="I66" i="24" s="1"/>
  <c r="D67" i="24"/>
  <c r="J145" i="26"/>
  <c r="D147" i="26"/>
  <c r="G146" i="26"/>
  <c r="G149" i="18"/>
  <c r="D150" i="18"/>
  <c r="J148" i="18"/>
  <c r="I63" i="22"/>
  <c r="G59" i="37"/>
  <c r="I59" i="37" s="1"/>
  <c r="I66" i="18"/>
  <c r="H61" i="29"/>
  <c r="I61" i="29" s="1"/>
  <c r="D61" i="31"/>
  <c r="E61" i="31" s="1"/>
  <c r="H60" i="31"/>
  <c r="G60" i="31"/>
  <c r="J142" i="31"/>
  <c r="D61" i="35"/>
  <c r="E61" i="35" s="1"/>
  <c r="D64" i="26"/>
  <c r="E64" i="26" s="1"/>
  <c r="D63" i="25"/>
  <c r="E63" i="25" s="1"/>
  <c r="D65" i="23"/>
  <c r="E65" i="23" s="1"/>
  <c r="D59" i="38"/>
  <c r="E59" i="38" s="1"/>
  <c r="B65" i="21"/>
  <c r="F65" i="21"/>
  <c r="H65" i="21" s="1"/>
  <c r="G143" i="35"/>
  <c r="D144" i="35"/>
  <c r="H63" i="26"/>
  <c r="I63" i="26" s="1"/>
  <c r="G58" i="38"/>
  <c r="I58" i="38" s="1"/>
  <c r="B64" i="22"/>
  <c r="F64" i="22"/>
  <c r="D60" i="37"/>
  <c r="D61" i="34"/>
  <c r="E61" i="34" s="1"/>
  <c r="D63" i="13"/>
  <c r="B69" i="3"/>
  <c r="F69" i="3"/>
  <c r="G69" i="3" s="1"/>
  <c r="H60" i="34"/>
  <c r="D65" i="27"/>
  <c r="E65" i="27" s="1"/>
  <c r="H62" i="13"/>
  <c r="B67" i="19"/>
  <c r="F67" i="19"/>
  <c r="H67" i="19" s="1"/>
  <c r="B68" i="4"/>
  <c r="F68" i="4"/>
  <c r="H68" i="4" s="1"/>
  <c r="G60" i="34"/>
  <c r="G62" i="13"/>
  <c r="G60" i="35"/>
  <c r="G62" i="25"/>
  <c r="G64" i="23"/>
  <c r="G64" i="27"/>
  <c r="I64" i="27" s="1"/>
  <c r="D62" i="29"/>
  <c r="E62" i="29" s="1"/>
  <c r="I64" i="28"/>
  <c r="H60" i="35"/>
  <c r="B67" i="18"/>
  <c r="F67" i="18"/>
  <c r="H62" i="25"/>
  <c r="H64" i="23"/>
  <c r="I64" i="23" s="1"/>
  <c r="G142" i="37"/>
  <c r="D143" i="37"/>
  <c r="J149" i="4"/>
  <c r="G150" i="4"/>
  <c r="D151" i="4"/>
  <c r="J149" i="3"/>
  <c r="J148" i="19"/>
  <c r="G143" i="31"/>
  <c r="D144" i="31"/>
  <c r="J147" i="28"/>
  <c r="G149" i="19"/>
  <c r="D150" i="19"/>
  <c r="B143" i="38"/>
  <c r="H143" i="13"/>
  <c r="I143" i="13"/>
  <c r="E143" i="38"/>
  <c r="F143" i="38" s="1"/>
  <c r="H143" i="38" s="1"/>
  <c r="I146" i="21"/>
  <c r="B144" i="13"/>
  <c r="J142" i="20"/>
  <c r="I146" i="24"/>
  <c r="I142" i="34"/>
  <c r="B147" i="24"/>
  <c r="B143" i="34"/>
  <c r="G148" i="29"/>
  <c r="D149" i="29"/>
  <c r="B147" i="25"/>
  <c r="B147" i="27"/>
  <c r="E147" i="25"/>
  <c r="F147" i="25" s="1"/>
  <c r="H147" i="25" s="1"/>
  <c r="B147" i="21"/>
  <c r="I142" i="38"/>
  <c r="I146" i="27"/>
  <c r="E144" i="13"/>
  <c r="F144" i="13" s="1"/>
  <c r="I146" i="25"/>
  <c r="G146" i="22"/>
  <c r="D147" i="22"/>
  <c r="J150" i="23"/>
  <c r="G143" i="20"/>
  <c r="D144" i="20"/>
  <c r="E144" i="20" s="1"/>
  <c r="G151" i="23"/>
  <c r="D152" i="23"/>
  <c r="D151" i="3"/>
  <c r="G150" i="3"/>
  <c r="J145" i="22"/>
  <c r="E60" i="39" l="1"/>
  <c r="F60" i="39" s="1"/>
  <c r="B60" i="39"/>
  <c r="E152" i="23"/>
  <c r="F152" i="23" s="1"/>
  <c r="H152" i="23" s="1"/>
  <c r="E151" i="3"/>
  <c r="F151" i="3" s="1"/>
  <c r="H151" i="3" s="1"/>
  <c r="E149" i="29"/>
  <c r="F149" i="29" s="1"/>
  <c r="H149" i="29" s="1"/>
  <c r="E143" i="39"/>
  <c r="F143" i="39" s="1"/>
  <c r="H143" i="39" s="1"/>
  <c r="B143" i="39"/>
  <c r="I142" i="39"/>
  <c r="I62" i="25"/>
  <c r="E67" i="24"/>
  <c r="F67" i="24" s="1"/>
  <c r="B67" i="24"/>
  <c r="I146" i="26"/>
  <c r="E147" i="26"/>
  <c r="F147" i="26" s="1"/>
  <c r="H147" i="26" s="1"/>
  <c r="B147" i="26"/>
  <c r="E150" i="18"/>
  <c r="F150" i="18" s="1"/>
  <c r="H150" i="18" s="1"/>
  <c r="B150" i="18"/>
  <c r="I149" i="18"/>
  <c r="I62" i="13"/>
  <c r="I60" i="35"/>
  <c r="H69" i="3"/>
  <c r="I69" i="3" s="1"/>
  <c r="I60" i="34"/>
  <c r="B60" i="37"/>
  <c r="F62" i="29"/>
  <c r="G62" i="29" s="1"/>
  <c r="D65" i="22"/>
  <c r="E65" i="22" s="1"/>
  <c r="B65" i="28"/>
  <c r="B59" i="38"/>
  <c r="F59" i="38"/>
  <c r="H59" i="38" s="1"/>
  <c r="F61" i="35"/>
  <c r="G61" i="35" s="1"/>
  <c r="B61" i="35"/>
  <c r="D68" i="18"/>
  <c r="D69" i="4"/>
  <c r="E69" i="4" s="1"/>
  <c r="B63" i="13"/>
  <c r="E144" i="35"/>
  <c r="F144" i="35" s="1"/>
  <c r="H144" i="35" s="1"/>
  <c r="B144" i="35"/>
  <c r="H67" i="18"/>
  <c r="G68" i="4"/>
  <c r="I68" i="4" s="1"/>
  <c r="E63" i="13"/>
  <c r="F63" i="13" s="1"/>
  <c r="H64" i="22"/>
  <c r="I143" i="35"/>
  <c r="F65" i="23"/>
  <c r="G65" i="23" s="1"/>
  <c r="B65" i="23"/>
  <c r="F65" i="27"/>
  <c r="B65" i="27"/>
  <c r="G64" i="22"/>
  <c r="G67" i="18"/>
  <c r="D66" i="21"/>
  <c r="E66" i="21" s="1"/>
  <c r="B63" i="25"/>
  <c r="F63" i="25"/>
  <c r="H63" i="25" s="1"/>
  <c r="I60" i="31"/>
  <c r="D68" i="19"/>
  <c r="E68" i="19" s="1"/>
  <c r="F61" i="34"/>
  <c r="H61" i="34" s="1"/>
  <c r="B61" i="34"/>
  <c r="G67" i="19"/>
  <c r="I67" i="19" s="1"/>
  <c r="D70" i="3"/>
  <c r="E70" i="3" s="1"/>
  <c r="E60" i="37"/>
  <c r="F60" i="37" s="1"/>
  <c r="G65" i="21"/>
  <c r="I65" i="21" s="1"/>
  <c r="B64" i="26"/>
  <c r="F64" i="26"/>
  <c r="H64" i="26" s="1"/>
  <c r="B61" i="31"/>
  <c r="F61" i="31"/>
  <c r="H61" i="31" s="1"/>
  <c r="B151" i="4"/>
  <c r="E151" i="4"/>
  <c r="F151" i="4" s="1"/>
  <c r="H151" i="4" s="1"/>
  <c r="I150" i="4"/>
  <c r="B143" i="37"/>
  <c r="I142" i="37"/>
  <c r="E143" i="37"/>
  <c r="F143" i="37" s="1"/>
  <c r="H143" i="37" s="1"/>
  <c r="E144" i="31"/>
  <c r="F144" i="31" s="1"/>
  <c r="H144" i="31" s="1"/>
  <c r="B144" i="31"/>
  <c r="I143" i="31"/>
  <c r="J146" i="24"/>
  <c r="G147" i="25"/>
  <c r="D148" i="25"/>
  <c r="G143" i="38"/>
  <c r="D144" i="38"/>
  <c r="D145" i="13"/>
  <c r="E145" i="13" s="1"/>
  <c r="G144" i="13"/>
  <c r="D148" i="21"/>
  <c r="G147" i="21"/>
  <c r="G143" i="34"/>
  <c r="D144" i="34"/>
  <c r="G147" i="24"/>
  <c r="D148" i="24"/>
  <c r="D148" i="27"/>
  <c r="G147" i="27"/>
  <c r="I148" i="29"/>
  <c r="B149" i="28"/>
  <c r="B150" i="19"/>
  <c r="J146" i="27"/>
  <c r="J146" i="21"/>
  <c r="E150" i="19"/>
  <c r="F150" i="19" s="1"/>
  <c r="H150" i="19" s="1"/>
  <c r="I149" i="19"/>
  <c r="I150" i="3"/>
  <c r="B147" i="22"/>
  <c r="I151" i="23"/>
  <c r="F144" i="20"/>
  <c r="B144" i="20"/>
  <c r="I146" i="22"/>
  <c r="B151" i="3"/>
  <c r="I143" i="20"/>
  <c r="H143" i="20"/>
  <c r="E147" i="22"/>
  <c r="F147" i="22" s="1"/>
  <c r="H147" i="22" s="1"/>
  <c r="D61" i="39" l="1"/>
  <c r="B61" i="39" s="1"/>
  <c r="G60" i="39"/>
  <c r="H60" i="39"/>
  <c r="I60" i="39" s="1"/>
  <c r="E148" i="21"/>
  <c r="F148" i="21" s="1"/>
  <c r="H148" i="21" s="1"/>
  <c r="E148" i="24"/>
  <c r="F148" i="24" s="1"/>
  <c r="H148" i="24" s="1"/>
  <c r="E144" i="38"/>
  <c r="F144" i="38" s="1"/>
  <c r="H144" i="38" s="1"/>
  <c r="G143" i="39"/>
  <c r="D144" i="39"/>
  <c r="D68" i="24"/>
  <c r="H67" i="24"/>
  <c r="G67" i="24"/>
  <c r="J146" i="26"/>
  <c r="G147" i="26"/>
  <c r="D148" i="26"/>
  <c r="G150" i="18"/>
  <c r="D151" i="18"/>
  <c r="J149" i="18"/>
  <c r="G61" i="31"/>
  <c r="I61" i="31" s="1"/>
  <c r="G64" i="26"/>
  <c r="I64" i="26" s="1"/>
  <c r="G61" i="34"/>
  <c r="I61" i="34" s="1"/>
  <c r="I64" i="22"/>
  <c r="H61" i="35"/>
  <c r="I61" i="35" s="1"/>
  <c r="G59" i="38"/>
  <c r="I59" i="38" s="1"/>
  <c r="D64" i="13"/>
  <c r="H63" i="13"/>
  <c r="G63" i="13"/>
  <c r="D145" i="35"/>
  <c r="G144" i="35"/>
  <c r="D61" i="37"/>
  <c r="E61" i="37" s="1"/>
  <c r="G60" i="37"/>
  <c r="H60" i="37"/>
  <c r="D66" i="27"/>
  <c r="E66" i="27" s="1"/>
  <c r="B68" i="18"/>
  <c r="F68" i="19"/>
  <c r="H68" i="19" s="1"/>
  <c r="B68" i="19"/>
  <c r="F66" i="21"/>
  <c r="H66" i="21" s="1"/>
  <c r="B66" i="21"/>
  <c r="G65" i="27"/>
  <c r="D63" i="29"/>
  <c r="E63" i="29" s="1"/>
  <c r="F70" i="3"/>
  <c r="G70" i="3" s="1"/>
  <c r="B70" i="3"/>
  <c r="H62" i="29"/>
  <c r="I62" i="29" s="1"/>
  <c r="D62" i="35"/>
  <c r="E62" i="35" s="1"/>
  <c r="D65" i="26"/>
  <c r="E65" i="26" s="1"/>
  <c r="D64" i="25"/>
  <c r="E64" i="25" s="1"/>
  <c r="I67" i="18"/>
  <c r="D66" i="23"/>
  <c r="E66" i="23" s="1"/>
  <c r="B69" i="4"/>
  <c r="F69" i="4"/>
  <c r="D60" i="38"/>
  <c r="E60" i="38" s="1"/>
  <c r="F65" i="22"/>
  <c r="G65" i="22" s="1"/>
  <c r="B65" i="22"/>
  <c r="D62" i="31"/>
  <c r="D62" i="34"/>
  <c r="E62" i="34" s="1"/>
  <c r="G63" i="25"/>
  <c r="I63" i="25" s="1"/>
  <c r="H65" i="27"/>
  <c r="H65" i="23"/>
  <c r="I65" i="23" s="1"/>
  <c r="E68" i="18"/>
  <c r="F68" i="18" s="1"/>
  <c r="G143" i="37"/>
  <c r="D144" i="37"/>
  <c r="J150" i="4"/>
  <c r="D152" i="4"/>
  <c r="G151" i="4"/>
  <c r="J151" i="23"/>
  <c r="J143" i="31"/>
  <c r="G144" i="31"/>
  <c r="D145" i="31"/>
  <c r="J148" i="28"/>
  <c r="G150" i="19"/>
  <c r="D151" i="19"/>
  <c r="B148" i="27"/>
  <c r="B144" i="34"/>
  <c r="I143" i="34"/>
  <c r="F145" i="13"/>
  <c r="B145" i="13"/>
  <c r="J150" i="3"/>
  <c r="I147" i="24"/>
  <c r="B144" i="38"/>
  <c r="B148" i="24"/>
  <c r="J149" i="19"/>
  <c r="D150" i="29"/>
  <c r="G149" i="29"/>
  <c r="I143" i="38"/>
  <c r="I147" i="21"/>
  <c r="B148" i="25"/>
  <c r="E148" i="27"/>
  <c r="F148" i="27" s="1"/>
  <c r="H148" i="27" s="1"/>
  <c r="B148" i="21"/>
  <c r="E148" i="25"/>
  <c r="F148" i="25" s="1"/>
  <c r="H148" i="25" s="1"/>
  <c r="I147" i="27"/>
  <c r="E144" i="34"/>
  <c r="F144" i="34" s="1"/>
  <c r="H144" i="34" s="1"/>
  <c r="I144" i="13"/>
  <c r="H144" i="13"/>
  <c r="I147" i="25"/>
  <c r="G151" i="3"/>
  <c r="D152" i="3"/>
  <c r="G152" i="23"/>
  <c r="D153" i="23"/>
  <c r="G144" i="20"/>
  <c r="D145" i="20"/>
  <c r="E145" i="20" s="1"/>
  <c r="J143" i="20"/>
  <c r="G147" i="22"/>
  <c r="D148" i="22"/>
  <c r="J146" i="22"/>
  <c r="E61" i="39" l="1"/>
  <c r="F61" i="39" s="1"/>
  <c r="G61" i="39" s="1"/>
  <c r="B144" i="37"/>
  <c r="E145" i="31"/>
  <c r="E150" i="29"/>
  <c r="F150" i="29" s="1"/>
  <c r="H150" i="29" s="1"/>
  <c r="E144" i="39"/>
  <c r="F144" i="39" s="1"/>
  <c r="H144" i="39" s="1"/>
  <c r="B144" i="39"/>
  <c r="I143" i="39"/>
  <c r="I67" i="24"/>
  <c r="E68" i="24"/>
  <c r="F68" i="24" s="1"/>
  <c r="D69" i="24" s="1"/>
  <c r="B68" i="24"/>
  <c r="I60" i="37"/>
  <c r="E148" i="26"/>
  <c r="F148" i="26" s="1"/>
  <c r="H148" i="26" s="1"/>
  <c r="B148" i="26"/>
  <c r="I147" i="26"/>
  <c r="E151" i="18"/>
  <c r="F151" i="18" s="1"/>
  <c r="H151" i="18" s="1"/>
  <c r="B151" i="18"/>
  <c r="I150" i="18"/>
  <c r="I65" i="27"/>
  <c r="G66" i="21"/>
  <c r="I66" i="21" s="1"/>
  <c r="G68" i="19"/>
  <c r="I68" i="19" s="1"/>
  <c r="H65" i="22"/>
  <c r="I65" i="22" s="1"/>
  <c r="I65" i="28"/>
  <c r="D69" i="18"/>
  <c r="E69" i="18" s="1"/>
  <c r="H68" i="18"/>
  <c r="G68" i="18"/>
  <c r="B62" i="31"/>
  <c r="D70" i="4"/>
  <c r="E70" i="4" s="1"/>
  <c r="F61" i="37"/>
  <c r="B61" i="37"/>
  <c r="G69" i="4"/>
  <c r="F65" i="26"/>
  <c r="H65" i="26" s="1"/>
  <c r="B65" i="26"/>
  <c r="D71" i="3"/>
  <c r="E71" i="3" s="1"/>
  <c r="I144" i="35"/>
  <c r="D67" i="21"/>
  <c r="E67" i="21" s="1"/>
  <c r="E145" i="35"/>
  <c r="F145" i="35" s="1"/>
  <c r="H145" i="35" s="1"/>
  <c r="B145" i="35"/>
  <c r="D66" i="22"/>
  <c r="E66" i="22" s="1"/>
  <c r="B66" i="23"/>
  <c r="F66" i="23"/>
  <c r="G66" i="23" s="1"/>
  <c r="B62" i="35"/>
  <c r="F62" i="35"/>
  <c r="H62" i="35" s="1"/>
  <c r="F63" i="29"/>
  <c r="G63" i="29" s="1"/>
  <c r="B66" i="27"/>
  <c r="F66" i="27"/>
  <c r="I63" i="13"/>
  <c r="F62" i="34"/>
  <c r="B62" i="34"/>
  <c r="B60" i="38"/>
  <c r="F60" i="38"/>
  <c r="B66" i="28"/>
  <c r="B64" i="13"/>
  <c r="E62" i="31"/>
  <c r="F62" i="31" s="1"/>
  <c r="H69" i="4"/>
  <c r="F64" i="25"/>
  <c r="B64" i="25"/>
  <c r="H70" i="3"/>
  <c r="I70" i="3" s="1"/>
  <c r="D69" i="19"/>
  <c r="E69" i="19" s="1"/>
  <c r="E64" i="13"/>
  <c r="F64" i="13" s="1"/>
  <c r="B152" i="4"/>
  <c r="E152" i="4"/>
  <c r="F152" i="4" s="1"/>
  <c r="H152" i="4" s="1"/>
  <c r="I151" i="4"/>
  <c r="I143" i="37"/>
  <c r="J147" i="21"/>
  <c r="E144" i="37"/>
  <c r="F144" i="37" s="1"/>
  <c r="H144" i="37" s="1"/>
  <c r="B145" i="31"/>
  <c r="F145" i="31"/>
  <c r="H145" i="31" s="1"/>
  <c r="I144" i="31"/>
  <c r="G144" i="34"/>
  <c r="D145" i="34"/>
  <c r="G148" i="27"/>
  <c r="D149" i="27"/>
  <c r="I149" i="29"/>
  <c r="D145" i="38"/>
  <c r="G144" i="38"/>
  <c r="B151" i="19"/>
  <c r="D146" i="13"/>
  <c r="G145" i="13"/>
  <c r="E151" i="19"/>
  <c r="F151" i="19" s="1"/>
  <c r="H151" i="19" s="1"/>
  <c r="I150" i="19"/>
  <c r="J147" i="24"/>
  <c r="B150" i="28"/>
  <c r="G148" i="24"/>
  <c r="D149" i="24"/>
  <c r="G148" i="25"/>
  <c r="D149" i="25"/>
  <c r="J147" i="27"/>
  <c r="D149" i="21"/>
  <c r="G148" i="21"/>
  <c r="I152" i="23"/>
  <c r="I147" i="22"/>
  <c r="B152" i="3"/>
  <c r="B148" i="22"/>
  <c r="I151" i="3"/>
  <c r="E148" i="22"/>
  <c r="F148" i="22" s="1"/>
  <c r="H148" i="22" s="1"/>
  <c r="B145" i="20"/>
  <c r="F145" i="20"/>
  <c r="I144" i="20"/>
  <c r="H144" i="20"/>
  <c r="E153" i="23"/>
  <c r="F153" i="23" s="1"/>
  <c r="H153" i="23" s="1"/>
  <c r="E152" i="3"/>
  <c r="F152" i="3" s="1"/>
  <c r="H152" i="3" s="1"/>
  <c r="H61" i="39" l="1"/>
  <c r="I61" i="39" s="1"/>
  <c r="D62" i="39"/>
  <c r="E62" i="39" s="1"/>
  <c r="B62" i="39"/>
  <c r="E149" i="27"/>
  <c r="F149" i="27" s="1"/>
  <c r="H149" i="27" s="1"/>
  <c r="E149" i="24"/>
  <c r="E149" i="21"/>
  <c r="F149" i="21" s="1"/>
  <c r="H149" i="21" s="1"/>
  <c r="E149" i="25"/>
  <c r="F149" i="25" s="1"/>
  <c r="H149" i="25" s="1"/>
  <c r="E145" i="38"/>
  <c r="F145" i="38" s="1"/>
  <c r="H145" i="38" s="1"/>
  <c r="E145" i="34"/>
  <c r="F145" i="34" s="1"/>
  <c r="H145" i="34" s="1"/>
  <c r="D145" i="39"/>
  <c r="G144" i="39"/>
  <c r="H68" i="24"/>
  <c r="E69" i="24"/>
  <c r="F69" i="24" s="1"/>
  <c r="B69" i="24"/>
  <c r="G68" i="24"/>
  <c r="J147" i="26"/>
  <c r="G148" i="26"/>
  <c r="D149" i="26"/>
  <c r="G65" i="26"/>
  <c r="I65" i="26" s="1"/>
  <c r="J150" i="18"/>
  <c r="D152" i="18"/>
  <c r="G151" i="18"/>
  <c r="I69" i="4"/>
  <c r="H66" i="23"/>
  <c r="I66" i="23" s="1"/>
  <c r="J147" i="22"/>
  <c r="J152" i="23"/>
  <c r="H63" i="29"/>
  <c r="I63" i="29" s="1"/>
  <c r="G62" i="35"/>
  <c r="I62" i="35" s="1"/>
  <c r="D65" i="13"/>
  <c r="G64" i="13"/>
  <c r="H64" i="13"/>
  <c r="D63" i="31"/>
  <c r="E63" i="31" s="1"/>
  <c r="H62" i="31"/>
  <c r="G62" i="31"/>
  <c r="D67" i="27"/>
  <c r="E67" i="27" s="1"/>
  <c r="G145" i="35"/>
  <c r="D146" i="35"/>
  <c r="D65" i="25"/>
  <c r="E65" i="25" s="1"/>
  <c r="D62" i="37"/>
  <c r="G64" i="25"/>
  <c r="D63" i="34"/>
  <c r="E63" i="34" s="1"/>
  <c r="B71" i="3"/>
  <c r="F71" i="3"/>
  <c r="H71" i="3" s="1"/>
  <c r="H61" i="37"/>
  <c r="G62" i="34"/>
  <c r="G61" i="37"/>
  <c r="I66" i="28"/>
  <c r="H62" i="34"/>
  <c r="D67" i="23"/>
  <c r="E67" i="23" s="1"/>
  <c r="B67" i="21"/>
  <c r="F67" i="21"/>
  <c r="G67" i="21" s="1"/>
  <c r="B69" i="19"/>
  <c r="F69" i="19"/>
  <c r="G69" i="19" s="1"/>
  <c r="D61" i="38"/>
  <c r="E61" i="38" s="1"/>
  <c r="D64" i="29"/>
  <c r="E64" i="29" s="1"/>
  <c r="I68" i="18"/>
  <c r="G60" i="38"/>
  <c r="G66" i="27"/>
  <c r="D63" i="35"/>
  <c r="E63" i="35" s="1"/>
  <c r="D66" i="26"/>
  <c r="E66" i="26" s="1"/>
  <c r="J151" i="3"/>
  <c r="J144" i="31"/>
  <c r="J151" i="4"/>
  <c r="H64" i="25"/>
  <c r="H60" i="38"/>
  <c r="H66" i="27"/>
  <c r="B66" i="22"/>
  <c r="F66" i="22"/>
  <c r="H66" i="22" s="1"/>
  <c r="B70" i="4"/>
  <c r="F70" i="4"/>
  <c r="G70" i="4" s="1"/>
  <c r="B69" i="18"/>
  <c r="F69" i="18"/>
  <c r="D145" i="37"/>
  <c r="G144" i="37"/>
  <c r="D153" i="4"/>
  <c r="G152" i="4"/>
  <c r="D146" i="31"/>
  <c r="G145" i="31"/>
  <c r="J150" i="19"/>
  <c r="D152" i="19"/>
  <c r="G151" i="19"/>
  <c r="B149" i="24"/>
  <c r="F149" i="24"/>
  <c r="H149" i="24" s="1"/>
  <c r="G150" i="29"/>
  <c r="D151" i="29"/>
  <c r="B145" i="38"/>
  <c r="I148" i="21"/>
  <c r="I148" i="24"/>
  <c r="H145" i="13"/>
  <c r="I145" i="13"/>
  <c r="B146" i="13"/>
  <c r="B149" i="27"/>
  <c r="B149" i="21"/>
  <c r="E146" i="13"/>
  <c r="F146" i="13" s="1"/>
  <c r="I148" i="27"/>
  <c r="B149" i="25"/>
  <c r="B145" i="34"/>
  <c r="I148" i="25"/>
  <c r="J149" i="28"/>
  <c r="I144" i="38"/>
  <c r="I144" i="34"/>
  <c r="D149" i="22"/>
  <c r="G148" i="22"/>
  <c r="D154" i="23"/>
  <c r="G153" i="23"/>
  <c r="J144" i="20"/>
  <c r="G152" i="3"/>
  <c r="D153" i="3"/>
  <c r="D146" i="20"/>
  <c r="E146" i="20" s="1"/>
  <c r="G145" i="20"/>
  <c r="F62" i="39" l="1"/>
  <c r="H62" i="39" s="1"/>
  <c r="G62" i="39"/>
  <c r="E152" i="19"/>
  <c r="F152" i="19" s="1"/>
  <c r="H152" i="19" s="1"/>
  <c r="E153" i="3"/>
  <c r="F153" i="3" s="1"/>
  <c r="H153" i="3" s="1"/>
  <c r="E145" i="39"/>
  <c r="F145" i="39" s="1"/>
  <c r="H145" i="39" s="1"/>
  <c r="E151" i="29"/>
  <c r="F151" i="29" s="1"/>
  <c r="H151" i="29" s="1"/>
  <c r="I144" i="39"/>
  <c r="B145" i="39"/>
  <c r="I68" i="24"/>
  <c r="G69" i="24"/>
  <c r="H69" i="24"/>
  <c r="D70" i="24"/>
  <c r="E149" i="26"/>
  <c r="F149" i="26" s="1"/>
  <c r="H149" i="26" s="1"/>
  <c r="B149" i="26"/>
  <c r="I148" i="26"/>
  <c r="I151" i="18"/>
  <c r="E152" i="18"/>
  <c r="F152" i="18" s="1"/>
  <c r="H152" i="18" s="1"/>
  <c r="B152" i="18"/>
  <c r="H70" i="4"/>
  <c r="I70" i="4" s="1"/>
  <c r="I64" i="25"/>
  <c r="I60" i="38"/>
  <c r="I62" i="31"/>
  <c r="G71" i="3"/>
  <c r="I71" i="3" s="1"/>
  <c r="I64" i="13"/>
  <c r="B62" i="37"/>
  <c r="F63" i="35"/>
  <c r="B63" i="35"/>
  <c r="H67" i="21"/>
  <c r="I67" i="21" s="1"/>
  <c r="F64" i="29"/>
  <c r="G64" i="29" s="1"/>
  <c r="D70" i="18"/>
  <c r="E70" i="18" s="1"/>
  <c r="D68" i="21"/>
  <c r="E68" i="21" s="1"/>
  <c r="B63" i="34"/>
  <c r="F63" i="34"/>
  <c r="H63" i="34" s="1"/>
  <c r="F65" i="25"/>
  <c r="H65" i="25" s="1"/>
  <c r="B65" i="25"/>
  <c r="F63" i="31"/>
  <c r="H63" i="31" s="1"/>
  <c r="B63" i="31"/>
  <c r="G69" i="18"/>
  <c r="D67" i="22"/>
  <c r="E67" i="22" s="1"/>
  <c r="F61" i="38"/>
  <c r="G61" i="38" s="1"/>
  <c r="B61" i="38"/>
  <c r="I61" i="37"/>
  <c r="E146" i="35"/>
  <c r="F146" i="35" s="1"/>
  <c r="H146" i="35" s="1"/>
  <c r="B146" i="35"/>
  <c r="G66" i="22"/>
  <c r="I66" i="22" s="1"/>
  <c r="D70" i="19"/>
  <c r="E70" i="19" s="1"/>
  <c r="B67" i="28"/>
  <c r="I145" i="35"/>
  <c r="H69" i="18"/>
  <c r="B66" i="26"/>
  <c r="F66" i="26"/>
  <c r="H66" i="26" s="1"/>
  <c r="F67" i="23"/>
  <c r="H67" i="23" s="1"/>
  <c r="B67" i="23"/>
  <c r="D72" i="3"/>
  <c r="E72" i="3" s="1"/>
  <c r="B65" i="13"/>
  <c r="D71" i="4"/>
  <c r="E71" i="4" s="1"/>
  <c r="I66" i="27"/>
  <c r="H69" i="19"/>
  <c r="I69" i="19" s="1"/>
  <c r="I62" i="34"/>
  <c r="E62" i="37"/>
  <c r="F62" i="37" s="1"/>
  <c r="F67" i="27"/>
  <c r="H67" i="27" s="1"/>
  <c r="B67" i="27"/>
  <c r="E65" i="13"/>
  <c r="F65" i="13" s="1"/>
  <c r="I152" i="4"/>
  <c r="B153" i="4"/>
  <c r="E153" i="4"/>
  <c r="F153" i="4" s="1"/>
  <c r="H153" i="4" s="1"/>
  <c r="I144" i="37"/>
  <c r="J148" i="24"/>
  <c r="E145" i="37"/>
  <c r="F145" i="37" s="1"/>
  <c r="H145" i="37" s="1"/>
  <c r="B145" i="37"/>
  <c r="I145" i="31"/>
  <c r="E146" i="31"/>
  <c r="F146" i="31" s="1"/>
  <c r="H146" i="31" s="1"/>
  <c r="B146" i="31"/>
  <c r="G146" i="13"/>
  <c r="D147" i="13"/>
  <c r="E147" i="13" s="1"/>
  <c r="G149" i="25"/>
  <c r="D150" i="25"/>
  <c r="D150" i="21"/>
  <c r="G149" i="21"/>
  <c r="I151" i="19"/>
  <c r="J148" i="27"/>
  <c r="D150" i="27"/>
  <c r="G149" i="27"/>
  <c r="G145" i="38"/>
  <c r="D146" i="38"/>
  <c r="D150" i="24"/>
  <c r="G149" i="24"/>
  <c r="G145" i="34"/>
  <c r="D146" i="34"/>
  <c r="B152" i="19"/>
  <c r="B151" i="28"/>
  <c r="J148" i="21"/>
  <c r="I150" i="29"/>
  <c r="I152" i="3"/>
  <c r="I148" i="22"/>
  <c r="B153" i="3"/>
  <c r="E154" i="23"/>
  <c r="F154" i="23" s="1"/>
  <c r="H154" i="23" s="1"/>
  <c r="B149" i="22"/>
  <c r="I153" i="23"/>
  <c r="I145" i="20"/>
  <c r="H145" i="20"/>
  <c r="F146" i="20"/>
  <c r="B146" i="20"/>
  <c r="E149" i="22"/>
  <c r="F149" i="22" s="1"/>
  <c r="H149" i="22" s="1"/>
  <c r="I62" i="39" l="1"/>
  <c r="D63" i="39"/>
  <c r="B63" i="39" s="1"/>
  <c r="E63" i="39"/>
  <c r="F63" i="39" s="1"/>
  <c r="E150" i="24"/>
  <c r="F150" i="24" s="1"/>
  <c r="H150" i="24" s="1"/>
  <c r="E150" i="27"/>
  <c r="F150" i="27" s="1"/>
  <c r="H150" i="27" s="1"/>
  <c r="E146" i="34"/>
  <c r="F146" i="34" s="1"/>
  <c r="H146" i="34" s="1"/>
  <c r="G145" i="39"/>
  <c r="D146" i="39"/>
  <c r="I69" i="24"/>
  <c r="E70" i="24"/>
  <c r="F70" i="24" s="1"/>
  <c r="B70" i="24"/>
  <c r="D150" i="26"/>
  <c r="G149" i="26"/>
  <c r="J148" i="26"/>
  <c r="I69" i="18"/>
  <c r="J145" i="31"/>
  <c r="D153" i="18"/>
  <c r="G152" i="18"/>
  <c r="J151" i="18"/>
  <c r="H61" i="38"/>
  <c r="I61" i="38" s="1"/>
  <c r="G67" i="27"/>
  <c r="I67" i="27" s="1"/>
  <c r="I67" i="28"/>
  <c r="G66" i="26"/>
  <c r="I66" i="26" s="1"/>
  <c r="G63" i="34"/>
  <c r="I63" i="34" s="1"/>
  <c r="G65" i="25"/>
  <c r="I65" i="25" s="1"/>
  <c r="D66" i="13"/>
  <c r="E66" i="13" s="1"/>
  <c r="H65" i="13"/>
  <c r="G65" i="13"/>
  <c r="D63" i="37"/>
  <c r="E63" i="37" s="1"/>
  <c r="H62" i="37"/>
  <c r="G62" i="37"/>
  <c r="B72" i="3"/>
  <c r="F72" i="3"/>
  <c r="H72" i="3" s="1"/>
  <c r="D62" i="38"/>
  <c r="E62" i="38" s="1"/>
  <c r="D64" i="31"/>
  <c r="D65" i="29"/>
  <c r="E65" i="29" s="1"/>
  <c r="F70" i="19"/>
  <c r="H70" i="19" s="1"/>
  <c r="B70" i="19"/>
  <c r="F71" i="4"/>
  <c r="H71" i="4" s="1"/>
  <c r="B71" i="4"/>
  <c r="B68" i="21"/>
  <c r="F68" i="21"/>
  <c r="D68" i="23"/>
  <c r="B67" i="22"/>
  <c r="F67" i="22"/>
  <c r="H67" i="22" s="1"/>
  <c r="D64" i="35"/>
  <c r="D68" i="27"/>
  <c r="E68" i="27" s="1"/>
  <c r="G67" i="23"/>
  <c r="I67" i="23" s="1"/>
  <c r="D147" i="35"/>
  <c r="G146" i="35"/>
  <c r="D66" i="25"/>
  <c r="E66" i="25" s="1"/>
  <c r="H63" i="35"/>
  <c r="G63" i="31"/>
  <c r="I63" i="31" s="1"/>
  <c r="B70" i="18"/>
  <c r="F70" i="18"/>
  <c r="G63" i="35"/>
  <c r="J152" i="4"/>
  <c r="D67" i="26"/>
  <c r="E67" i="26" s="1"/>
  <c r="D64" i="34"/>
  <c r="H64" i="29"/>
  <c r="I64" i="29" s="1"/>
  <c r="G145" i="37"/>
  <c r="D146" i="37"/>
  <c r="G153" i="4"/>
  <c r="D154" i="4"/>
  <c r="J152" i="3"/>
  <c r="D147" i="31"/>
  <c r="G146" i="31"/>
  <c r="J151" i="19"/>
  <c r="G151" i="29"/>
  <c r="D152" i="29"/>
  <c r="B146" i="38"/>
  <c r="I149" i="21"/>
  <c r="I145" i="38"/>
  <c r="B150" i="21"/>
  <c r="B150" i="25"/>
  <c r="I145" i="34"/>
  <c r="I149" i="25"/>
  <c r="B146" i="34"/>
  <c r="I149" i="27"/>
  <c r="E150" i="25"/>
  <c r="F150" i="25" s="1"/>
  <c r="H150" i="25" s="1"/>
  <c r="J150" i="28"/>
  <c r="I149" i="24"/>
  <c r="B150" i="27"/>
  <c r="F147" i="13"/>
  <c r="B147" i="13"/>
  <c r="B150" i="24"/>
  <c r="G152" i="19"/>
  <c r="D153" i="19"/>
  <c r="E146" i="38"/>
  <c r="F146" i="38" s="1"/>
  <c r="H146" i="38" s="1"/>
  <c r="E150" i="21"/>
  <c r="F150" i="21" s="1"/>
  <c r="H150" i="21" s="1"/>
  <c r="H146" i="13"/>
  <c r="I146" i="13"/>
  <c r="D155" i="23"/>
  <c r="G154" i="23"/>
  <c r="D150" i="22"/>
  <c r="G149" i="22"/>
  <c r="G146" i="20"/>
  <c r="D147" i="20"/>
  <c r="J145" i="20"/>
  <c r="G153" i="3"/>
  <c r="D154" i="3"/>
  <c r="J153" i="23"/>
  <c r="J148" i="22"/>
  <c r="H63" i="39" l="1"/>
  <c r="D64" i="39"/>
  <c r="G63" i="39"/>
  <c r="I63" i="39" s="1"/>
  <c r="E150" i="22"/>
  <c r="F150" i="22" s="1"/>
  <c r="H150" i="22" s="1"/>
  <c r="E152" i="29"/>
  <c r="E146" i="39"/>
  <c r="F146" i="39" s="1"/>
  <c r="H146" i="39" s="1"/>
  <c r="B146" i="39"/>
  <c r="I145" i="39"/>
  <c r="D71" i="24"/>
  <c r="H70" i="24"/>
  <c r="G70" i="24"/>
  <c r="I149" i="26"/>
  <c r="E150" i="26"/>
  <c r="F150" i="26" s="1"/>
  <c r="H150" i="26" s="1"/>
  <c r="B150" i="26"/>
  <c r="I152" i="18"/>
  <c r="E153" i="18"/>
  <c r="F153" i="18" s="1"/>
  <c r="H153" i="18" s="1"/>
  <c r="B153" i="18"/>
  <c r="G70" i="19"/>
  <c r="I70" i="19" s="1"/>
  <c r="G71" i="4"/>
  <c r="I71" i="4" s="1"/>
  <c r="I62" i="37"/>
  <c r="B64" i="34"/>
  <c r="D71" i="18"/>
  <c r="E71" i="18" s="1"/>
  <c r="B64" i="35"/>
  <c r="D69" i="21"/>
  <c r="E69" i="21" s="1"/>
  <c r="B64" i="31"/>
  <c r="F66" i="25"/>
  <c r="H66" i="25" s="1"/>
  <c r="B66" i="25"/>
  <c r="B68" i="28"/>
  <c r="G70" i="18"/>
  <c r="I146" i="35"/>
  <c r="D68" i="22"/>
  <c r="E68" i="22" s="1"/>
  <c r="H68" i="21"/>
  <c r="B62" i="38"/>
  <c r="F62" i="38"/>
  <c r="G62" i="38" s="1"/>
  <c r="F63" i="37"/>
  <c r="G63" i="37" s="1"/>
  <c r="B63" i="37"/>
  <c r="E147" i="35"/>
  <c r="F147" i="35" s="1"/>
  <c r="H147" i="35" s="1"/>
  <c r="B147" i="35"/>
  <c r="G67" i="22"/>
  <c r="I67" i="22" s="1"/>
  <c r="D71" i="19"/>
  <c r="E71" i="19" s="1"/>
  <c r="B67" i="26"/>
  <c r="F67" i="26"/>
  <c r="G67" i="26" s="1"/>
  <c r="D73" i="3"/>
  <c r="E73" i="3" s="1"/>
  <c r="E74" i="3" s="1"/>
  <c r="B68" i="23"/>
  <c r="G72" i="3"/>
  <c r="I72" i="3" s="1"/>
  <c r="I65" i="13"/>
  <c r="F68" i="27"/>
  <c r="G68" i="27" s="1"/>
  <c r="B68" i="27"/>
  <c r="E68" i="23"/>
  <c r="F68" i="23" s="1"/>
  <c r="D72" i="4"/>
  <c r="E72" i="4" s="1"/>
  <c r="F65" i="29"/>
  <c r="H65" i="29" s="1"/>
  <c r="E64" i="34"/>
  <c r="F64" i="34" s="1"/>
  <c r="H70" i="18"/>
  <c r="I63" i="35"/>
  <c r="E64" i="35"/>
  <c r="F64" i="35" s="1"/>
  <c r="G68" i="21"/>
  <c r="E64" i="31"/>
  <c r="F64" i="31" s="1"/>
  <c r="B66" i="13"/>
  <c r="F66" i="13"/>
  <c r="H66" i="13" s="1"/>
  <c r="I153" i="4"/>
  <c r="E146" i="37"/>
  <c r="F146" i="37" s="1"/>
  <c r="H146" i="37" s="1"/>
  <c r="B146" i="37"/>
  <c r="B154" i="4"/>
  <c r="E154" i="4"/>
  <c r="F154" i="4" s="1"/>
  <c r="H154" i="4" s="1"/>
  <c r="I145" i="37"/>
  <c r="I146" i="31"/>
  <c r="B147" i="31"/>
  <c r="E147" i="31"/>
  <c r="F147" i="31" s="1"/>
  <c r="H147" i="31" s="1"/>
  <c r="G150" i="25"/>
  <c r="D151" i="25"/>
  <c r="D151" i="21"/>
  <c r="G150" i="21"/>
  <c r="D147" i="38"/>
  <c r="G146" i="38"/>
  <c r="G150" i="24"/>
  <c r="D151" i="24"/>
  <c r="D148" i="13"/>
  <c r="E148" i="13" s="1"/>
  <c r="G147" i="13"/>
  <c r="F152" i="29"/>
  <c r="H152" i="29" s="1"/>
  <c r="B153" i="19"/>
  <c r="J149" i="27"/>
  <c r="B152" i="28"/>
  <c r="I151" i="29"/>
  <c r="I152" i="19"/>
  <c r="G150" i="27"/>
  <c r="D151" i="27"/>
  <c r="E153" i="19"/>
  <c r="F153" i="19" s="1"/>
  <c r="H153" i="19" s="1"/>
  <c r="G146" i="34"/>
  <c r="D147" i="34"/>
  <c r="J149" i="24"/>
  <c r="J149" i="21"/>
  <c r="B154" i="3"/>
  <c r="I154" i="23"/>
  <c r="E155" i="23"/>
  <c r="E156" i="23" s="1"/>
  <c r="B147" i="20"/>
  <c r="E147" i="20"/>
  <c r="F147" i="20" s="1"/>
  <c r="E154" i="3"/>
  <c r="F154" i="3" s="1"/>
  <c r="H154" i="3" s="1"/>
  <c r="B150" i="22"/>
  <c r="I153" i="3"/>
  <c r="I146" i="20"/>
  <c r="H146" i="20"/>
  <c r="I149" i="22"/>
  <c r="E64" i="39" l="1"/>
  <c r="F64" i="39" s="1"/>
  <c r="B64" i="39"/>
  <c r="E151" i="27"/>
  <c r="F151" i="27" s="1"/>
  <c r="H151" i="27" s="1"/>
  <c r="E151" i="21"/>
  <c r="F151" i="21" s="1"/>
  <c r="H151" i="21" s="1"/>
  <c r="E151" i="24"/>
  <c r="F151" i="24" s="1"/>
  <c r="H151" i="24" s="1"/>
  <c r="E147" i="38"/>
  <c r="F147" i="38" s="1"/>
  <c r="H147" i="38" s="1"/>
  <c r="E147" i="34"/>
  <c r="G146" i="39"/>
  <c r="D147" i="39"/>
  <c r="I70" i="24"/>
  <c r="J149" i="26"/>
  <c r="E71" i="24"/>
  <c r="F71" i="24" s="1"/>
  <c r="B71" i="24"/>
  <c r="G150" i="26"/>
  <c r="D151" i="26"/>
  <c r="G153" i="18"/>
  <c r="D154" i="18"/>
  <c r="J146" i="31"/>
  <c r="J152" i="18"/>
  <c r="G66" i="25"/>
  <c r="I66" i="25" s="1"/>
  <c r="H67" i="26"/>
  <c r="I67" i="26" s="1"/>
  <c r="J153" i="4"/>
  <c r="D69" i="23"/>
  <c r="E69" i="23" s="1"/>
  <c r="G68" i="23"/>
  <c r="H68" i="23"/>
  <c r="D65" i="31"/>
  <c r="E65" i="31" s="1"/>
  <c r="G64" i="31"/>
  <c r="H64" i="31"/>
  <c r="D65" i="35"/>
  <c r="E65" i="35" s="1"/>
  <c r="H64" i="35"/>
  <c r="G64" i="35"/>
  <c r="D65" i="34"/>
  <c r="E65" i="34" s="1"/>
  <c r="H64" i="34"/>
  <c r="G64" i="34"/>
  <c r="I68" i="21"/>
  <c r="D67" i="13"/>
  <c r="E67" i="13" s="1"/>
  <c r="D66" i="29"/>
  <c r="E66" i="29" s="1"/>
  <c r="D69" i="27"/>
  <c r="E69" i="27" s="1"/>
  <c r="D64" i="37"/>
  <c r="E64" i="37" s="1"/>
  <c r="F68" i="22"/>
  <c r="H68" i="22" s="1"/>
  <c r="B68" i="22"/>
  <c r="B71" i="18"/>
  <c r="F71" i="18"/>
  <c r="H71" i="18" s="1"/>
  <c r="G65" i="29"/>
  <c r="I65" i="29" s="1"/>
  <c r="B71" i="19"/>
  <c r="F71" i="19"/>
  <c r="H71" i="19" s="1"/>
  <c r="H63" i="37"/>
  <c r="I63" i="37" s="1"/>
  <c r="F73" i="3"/>
  <c r="H73" i="3" s="1"/>
  <c r="B73" i="3"/>
  <c r="F69" i="21"/>
  <c r="G69" i="21" s="1"/>
  <c r="B69" i="21"/>
  <c r="B72" i="4"/>
  <c r="F72" i="4"/>
  <c r="D63" i="38"/>
  <c r="E63" i="38" s="1"/>
  <c r="G147" i="35"/>
  <c r="D148" i="35"/>
  <c r="D67" i="25"/>
  <c r="E67" i="25" s="1"/>
  <c r="G66" i="13"/>
  <c r="I66" i="13" s="1"/>
  <c r="I70" i="18"/>
  <c r="H68" i="27"/>
  <c r="I68" i="27" s="1"/>
  <c r="D68" i="26"/>
  <c r="E68" i="26" s="1"/>
  <c r="H62" i="38"/>
  <c r="I62" i="38" s="1"/>
  <c r="I68" i="28"/>
  <c r="D155" i="4"/>
  <c r="G154" i="4"/>
  <c r="G146" i="37"/>
  <c r="D147" i="37"/>
  <c r="J152" i="19"/>
  <c r="G147" i="31"/>
  <c r="D148" i="31"/>
  <c r="J153" i="3"/>
  <c r="G153" i="19"/>
  <c r="D154" i="19"/>
  <c r="J151" i="28"/>
  <c r="B147" i="38"/>
  <c r="H147" i="13"/>
  <c r="I147" i="13"/>
  <c r="G152" i="29"/>
  <c r="D153" i="29"/>
  <c r="B151" i="27"/>
  <c r="B148" i="13"/>
  <c r="F148" i="13"/>
  <c r="I150" i="21"/>
  <c r="I150" i="27"/>
  <c r="B151" i="21"/>
  <c r="B151" i="24"/>
  <c r="B151" i="25"/>
  <c r="I146" i="34"/>
  <c r="I150" i="24"/>
  <c r="I150" i="25"/>
  <c r="F147" i="34"/>
  <c r="H147" i="34" s="1"/>
  <c r="B147" i="34"/>
  <c r="I146" i="38"/>
  <c r="E151" i="25"/>
  <c r="F151" i="25" s="1"/>
  <c r="H151" i="25" s="1"/>
  <c r="J154" i="23"/>
  <c r="D155" i="3"/>
  <c r="G154" i="3"/>
  <c r="G150" i="22"/>
  <c r="D151" i="22"/>
  <c r="G147" i="20"/>
  <c r="D148" i="20"/>
  <c r="J146" i="20"/>
  <c r="J149" i="22"/>
  <c r="F155" i="23"/>
  <c r="D65" i="39" l="1"/>
  <c r="E65" i="39" s="1"/>
  <c r="F65" i="39" s="1"/>
  <c r="H64" i="39"/>
  <c r="G64" i="39"/>
  <c r="I64" i="39" s="1"/>
  <c r="B151" i="26"/>
  <c r="B154" i="18"/>
  <c r="G155" i="23"/>
  <c r="I155" i="23" s="1"/>
  <c r="H155" i="23"/>
  <c r="H156" i="23" s="1"/>
  <c r="E147" i="39"/>
  <c r="F147" i="39" s="1"/>
  <c r="H147" i="39" s="1"/>
  <c r="B147" i="39"/>
  <c r="I146" i="39"/>
  <c r="G71" i="24"/>
  <c r="H71" i="24"/>
  <c r="D72" i="24"/>
  <c r="E154" i="18"/>
  <c r="F154" i="18" s="1"/>
  <c r="G154" i="18" s="1"/>
  <c r="E151" i="26"/>
  <c r="F151" i="26" s="1"/>
  <c r="H151" i="26" s="1"/>
  <c r="I150" i="26"/>
  <c r="J150" i="27"/>
  <c r="I153" i="18"/>
  <c r="I64" i="34"/>
  <c r="G71" i="18"/>
  <c r="I71" i="18" s="1"/>
  <c r="I68" i="23"/>
  <c r="H74" i="3"/>
  <c r="B69" i="28"/>
  <c r="D73" i="4"/>
  <c r="G73" i="3"/>
  <c r="G74" i="3" s="1"/>
  <c r="D72" i="18"/>
  <c r="E72" i="18" s="1"/>
  <c r="B148" i="35"/>
  <c r="E148" i="35"/>
  <c r="F148" i="35" s="1"/>
  <c r="H148" i="35" s="1"/>
  <c r="B64" i="37"/>
  <c r="F64" i="37"/>
  <c r="F66" i="29"/>
  <c r="I147" i="35"/>
  <c r="B65" i="34"/>
  <c r="F65" i="34"/>
  <c r="G65" i="34" s="1"/>
  <c r="B65" i="31"/>
  <c r="F65" i="31"/>
  <c r="G65" i="31" s="1"/>
  <c r="J150" i="21"/>
  <c r="D72" i="19"/>
  <c r="E72" i="19" s="1"/>
  <c r="B68" i="26"/>
  <c r="F68" i="26"/>
  <c r="G68" i="26" s="1"/>
  <c r="D70" i="21"/>
  <c r="E70" i="21" s="1"/>
  <c r="B67" i="13"/>
  <c r="F67" i="13"/>
  <c r="G67" i="13" s="1"/>
  <c r="I64" i="35"/>
  <c r="B63" i="38"/>
  <c r="F63" i="38"/>
  <c r="G63" i="38" s="1"/>
  <c r="H69" i="21"/>
  <c r="I69" i="21" s="1"/>
  <c r="B67" i="25"/>
  <c r="F67" i="25"/>
  <c r="H67" i="25" s="1"/>
  <c r="G72" i="4"/>
  <c r="G71" i="19"/>
  <c r="I71" i="19" s="1"/>
  <c r="D69" i="22"/>
  <c r="E69" i="22" s="1"/>
  <c r="B65" i="35"/>
  <c r="F65" i="35"/>
  <c r="H65" i="35" s="1"/>
  <c r="B69" i="23"/>
  <c r="F69" i="23"/>
  <c r="G69" i="23" s="1"/>
  <c r="H72" i="4"/>
  <c r="G68" i="22"/>
  <c r="I68" i="22" s="1"/>
  <c r="F69" i="27"/>
  <c r="H69" i="27" s="1"/>
  <c r="B69" i="27"/>
  <c r="I64" i="31"/>
  <c r="E147" i="37"/>
  <c r="F147" i="37" s="1"/>
  <c r="H147" i="37" s="1"/>
  <c r="B147" i="37"/>
  <c r="I146" i="37"/>
  <c r="I154" i="4"/>
  <c r="E155" i="4"/>
  <c r="E156" i="4" s="1"/>
  <c r="B155" i="4"/>
  <c r="E148" i="31"/>
  <c r="F148" i="31" s="1"/>
  <c r="H148" i="31" s="1"/>
  <c r="B148" i="31"/>
  <c r="J150" i="24"/>
  <c r="I147" i="31"/>
  <c r="G151" i="25"/>
  <c r="D152" i="25"/>
  <c r="B153" i="28"/>
  <c r="D152" i="24"/>
  <c r="G151" i="24"/>
  <c r="G151" i="27"/>
  <c r="D152" i="27"/>
  <c r="G147" i="38"/>
  <c r="D148" i="38"/>
  <c r="B154" i="19"/>
  <c r="I152" i="29"/>
  <c r="D152" i="21"/>
  <c r="G151" i="21"/>
  <c r="I153" i="19"/>
  <c r="G148" i="13"/>
  <c r="D149" i="13"/>
  <c r="D148" i="34"/>
  <c r="G147" i="34"/>
  <c r="E153" i="29"/>
  <c r="F153" i="29" s="1"/>
  <c r="H153" i="29" s="1"/>
  <c r="E154" i="19"/>
  <c r="F154" i="19" s="1"/>
  <c r="H154" i="19" s="1"/>
  <c r="B155" i="3"/>
  <c r="E155" i="3"/>
  <c r="E156" i="3" s="1"/>
  <c r="B151" i="22"/>
  <c r="B148" i="20"/>
  <c r="H147" i="20"/>
  <c r="I147" i="20"/>
  <c r="I150" i="22"/>
  <c r="E148" i="20"/>
  <c r="F148" i="20" s="1"/>
  <c r="E151" i="22"/>
  <c r="F151" i="22" s="1"/>
  <c r="H151" i="22" s="1"/>
  <c r="I154" i="3"/>
  <c r="B65" i="39" l="1"/>
  <c r="H65" i="39"/>
  <c r="D66" i="39"/>
  <c r="E66" i="39" s="1"/>
  <c r="F66" i="39" s="1"/>
  <c r="D67" i="39" s="1"/>
  <c r="G65" i="39"/>
  <c r="E152" i="27"/>
  <c r="E152" i="24"/>
  <c r="E152" i="25"/>
  <c r="F152" i="25" s="1"/>
  <c r="H152" i="25" s="1"/>
  <c r="H154" i="18"/>
  <c r="E148" i="38"/>
  <c r="G147" i="39"/>
  <c r="D148" i="39"/>
  <c r="I71" i="24"/>
  <c r="J153" i="18"/>
  <c r="H65" i="34"/>
  <c r="I65" i="34" s="1"/>
  <c r="H65" i="31"/>
  <c r="I65" i="31" s="1"/>
  <c r="J147" i="31"/>
  <c r="D155" i="18"/>
  <c r="I154" i="18"/>
  <c r="E72" i="24"/>
  <c r="F72" i="24" s="1"/>
  <c r="B72" i="24"/>
  <c r="J150" i="26"/>
  <c r="D152" i="26"/>
  <c r="G151" i="26"/>
  <c r="G69" i="27"/>
  <c r="I69" i="27" s="1"/>
  <c r="J150" i="22"/>
  <c r="H63" i="38"/>
  <c r="I63" i="38" s="1"/>
  <c r="G67" i="25"/>
  <c r="I67" i="25" s="1"/>
  <c r="H69" i="23"/>
  <c r="I69" i="23" s="1"/>
  <c r="D68" i="13"/>
  <c r="E68" i="13" s="1"/>
  <c r="D69" i="26"/>
  <c r="E69" i="26" s="1"/>
  <c r="B69" i="22"/>
  <c r="F69" i="22"/>
  <c r="G69" i="22" s="1"/>
  <c r="H67" i="13"/>
  <c r="I67" i="13" s="1"/>
  <c r="H68" i="26"/>
  <c r="I68" i="26" s="1"/>
  <c r="D149" i="35"/>
  <c r="G148" i="35"/>
  <c r="B73" i="4"/>
  <c r="D70" i="23"/>
  <c r="E70" i="23" s="1"/>
  <c r="D67" i="29"/>
  <c r="E67" i="29" s="1"/>
  <c r="D70" i="27"/>
  <c r="E70" i="27" s="1"/>
  <c r="D64" i="38"/>
  <c r="E64" i="38" s="1"/>
  <c r="G66" i="29"/>
  <c r="D66" i="35"/>
  <c r="B72" i="19"/>
  <c r="F72" i="19"/>
  <c r="G72" i="19" s="1"/>
  <c r="D66" i="34"/>
  <c r="E66" i="34" s="1"/>
  <c r="H66" i="29"/>
  <c r="F72" i="18"/>
  <c r="H72" i="18" s="1"/>
  <c r="B72" i="18"/>
  <c r="D65" i="37"/>
  <c r="E65" i="37" s="1"/>
  <c r="G64" i="37"/>
  <c r="I73" i="3"/>
  <c r="I74" i="3" s="1"/>
  <c r="I72" i="4"/>
  <c r="G65" i="35"/>
  <c r="I65" i="35" s="1"/>
  <c r="D68" i="25"/>
  <c r="E68" i="25" s="1"/>
  <c r="F70" i="21"/>
  <c r="H70" i="21" s="1"/>
  <c r="B70" i="21"/>
  <c r="D66" i="31"/>
  <c r="E66" i="31" s="1"/>
  <c r="H64" i="37"/>
  <c r="E73" i="4"/>
  <c r="E74" i="4" s="1"/>
  <c r="J154" i="4"/>
  <c r="F155" i="4"/>
  <c r="D148" i="37"/>
  <c r="G147" i="37"/>
  <c r="G148" i="31"/>
  <c r="D149" i="31"/>
  <c r="J153" i="19"/>
  <c r="G154" i="19"/>
  <c r="D155" i="19"/>
  <c r="G153" i="29"/>
  <c r="D154" i="29"/>
  <c r="B152" i="21"/>
  <c r="B149" i="13"/>
  <c r="B152" i="24"/>
  <c r="F152" i="24"/>
  <c r="H152" i="24" s="1"/>
  <c r="B148" i="34"/>
  <c r="H148" i="13"/>
  <c r="I148" i="13"/>
  <c r="J152" i="28"/>
  <c r="I147" i="34"/>
  <c r="E149" i="13"/>
  <c r="F149" i="13" s="1"/>
  <c r="B152" i="27"/>
  <c r="F152" i="27"/>
  <c r="H152" i="27" s="1"/>
  <c r="B148" i="38"/>
  <c r="F148" i="38"/>
  <c r="H148" i="38" s="1"/>
  <c r="I147" i="38"/>
  <c r="I151" i="27"/>
  <c r="B152" i="25"/>
  <c r="I151" i="21"/>
  <c r="I151" i="24"/>
  <c r="E148" i="34"/>
  <c r="F148" i="34" s="1"/>
  <c r="H148" i="34" s="1"/>
  <c r="E152" i="21"/>
  <c r="F152" i="21" s="1"/>
  <c r="H152" i="21" s="1"/>
  <c r="I151" i="25"/>
  <c r="G151" i="22"/>
  <c r="D152" i="22"/>
  <c r="J155" i="23"/>
  <c r="J156" i="23" s="1"/>
  <c r="I156" i="23"/>
  <c r="J154" i="3"/>
  <c r="D149" i="20"/>
  <c r="G148" i="20"/>
  <c r="J147" i="20"/>
  <c r="F155" i="3"/>
  <c r="G155" i="3" s="1"/>
  <c r="B66" i="39" l="1"/>
  <c r="H66" i="39"/>
  <c r="G66" i="39"/>
  <c r="E67" i="39"/>
  <c r="F67" i="39" s="1"/>
  <c r="B67" i="39"/>
  <c r="I65" i="39"/>
  <c r="J154" i="18"/>
  <c r="E155" i="19"/>
  <c r="E156" i="19" s="1"/>
  <c r="G155" i="4"/>
  <c r="I155" i="4" s="1"/>
  <c r="H155" i="4"/>
  <c r="H156" i="4" s="1"/>
  <c r="B155" i="18"/>
  <c r="B148" i="39"/>
  <c r="E148" i="39"/>
  <c r="F148" i="39" s="1"/>
  <c r="H148" i="39" s="1"/>
  <c r="I147" i="39"/>
  <c r="E155" i="18"/>
  <c r="E156" i="18" s="1"/>
  <c r="D73" i="24"/>
  <c r="B73" i="24" s="1"/>
  <c r="H72" i="24"/>
  <c r="G72" i="24"/>
  <c r="I151" i="26"/>
  <c r="E152" i="26"/>
  <c r="F152" i="26" s="1"/>
  <c r="H152" i="26" s="1"/>
  <c r="B152" i="26"/>
  <c r="G72" i="18"/>
  <c r="I72" i="18" s="1"/>
  <c r="G70" i="21"/>
  <c r="I70" i="21" s="1"/>
  <c r="I66" i="29"/>
  <c r="B66" i="35"/>
  <c r="D71" i="21"/>
  <c r="E71" i="21" s="1"/>
  <c r="F73" i="4"/>
  <c r="D70" i="22"/>
  <c r="B66" i="34"/>
  <c r="F66" i="34"/>
  <c r="H66" i="34" s="1"/>
  <c r="F67" i="29"/>
  <c r="I148" i="35"/>
  <c r="I64" i="37"/>
  <c r="F65" i="37"/>
  <c r="H65" i="37" s="1"/>
  <c r="B65" i="37"/>
  <c r="H72" i="19"/>
  <c r="I72" i="19" s="1"/>
  <c r="E149" i="35"/>
  <c r="F149" i="35" s="1"/>
  <c r="H149" i="35" s="1"/>
  <c r="B149" i="35"/>
  <c r="B68" i="25"/>
  <c r="F68" i="25"/>
  <c r="G68" i="25" s="1"/>
  <c r="D73" i="19"/>
  <c r="E73" i="19" s="1"/>
  <c r="E74" i="19" s="1"/>
  <c r="B64" i="38"/>
  <c r="F64" i="38"/>
  <c r="G64" i="38" s="1"/>
  <c r="F70" i="23"/>
  <c r="H70" i="23" s="1"/>
  <c r="B70" i="23"/>
  <c r="F69" i="26"/>
  <c r="H69" i="26" s="1"/>
  <c r="B69" i="26"/>
  <c r="I69" i="28"/>
  <c r="F66" i="31"/>
  <c r="G66" i="31" s="1"/>
  <c r="B66" i="31"/>
  <c r="D73" i="18"/>
  <c r="E73" i="18" s="1"/>
  <c r="E74" i="18" s="1"/>
  <c r="E66" i="35"/>
  <c r="F66" i="35" s="1"/>
  <c r="B70" i="27"/>
  <c r="F70" i="27"/>
  <c r="G70" i="27" s="1"/>
  <c r="H69" i="22"/>
  <c r="I69" i="22" s="1"/>
  <c r="B68" i="13"/>
  <c r="F68" i="13"/>
  <c r="H68" i="13" s="1"/>
  <c r="B70" i="28"/>
  <c r="I147" i="37"/>
  <c r="E148" i="37"/>
  <c r="F148" i="37" s="1"/>
  <c r="H148" i="37" s="1"/>
  <c r="B148" i="37"/>
  <c r="J151" i="24"/>
  <c r="J151" i="21"/>
  <c r="E149" i="31"/>
  <c r="F149" i="31" s="1"/>
  <c r="H149" i="31" s="1"/>
  <c r="B149" i="31"/>
  <c r="I148" i="31"/>
  <c r="J151" i="27"/>
  <c r="G149" i="13"/>
  <c r="D150" i="13"/>
  <c r="D149" i="34"/>
  <c r="G148" i="34"/>
  <c r="G152" i="25"/>
  <c r="D153" i="25"/>
  <c r="G152" i="24"/>
  <c r="D153" i="24"/>
  <c r="I153" i="29"/>
  <c r="B155" i="19"/>
  <c r="B154" i="28"/>
  <c r="D153" i="27"/>
  <c r="G152" i="27"/>
  <c r="I154" i="19"/>
  <c r="G152" i="21"/>
  <c r="D153" i="21"/>
  <c r="D149" i="38"/>
  <c r="G148" i="38"/>
  <c r="E154" i="29"/>
  <c r="F154" i="29" s="1"/>
  <c r="H154" i="29" s="1"/>
  <c r="H148" i="20"/>
  <c r="I148" i="20"/>
  <c r="B152" i="22"/>
  <c r="I151" i="22"/>
  <c r="B149" i="20"/>
  <c r="H155" i="3"/>
  <c r="H156" i="3" s="1"/>
  <c r="I155" i="3"/>
  <c r="E149" i="20"/>
  <c r="F149" i="20" s="1"/>
  <c r="E152" i="22"/>
  <c r="F152" i="22" s="1"/>
  <c r="H152" i="22" s="1"/>
  <c r="F155" i="19" l="1"/>
  <c r="G155" i="19" s="1"/>
  <c r="D68" i="39"/>
  <c r="H67" i="39"/>
  <c r="G67" i="39"/>
  <c r="I66" i="39"/>
  <c r="E153" i="24"/>
  <c r="F153" i="24" s="1"/>
  <c r="H153" i="24" s="1"/>
  <c r="E153" i="27"/>
  <c r="F153" i="27" s="1"/>
  <c r="H153" i="27" s="1"/>
  <c r="E149" i="34"/>
  <c r="F149" i="34" s="1"/>
  <c r="H149" i="34" s="1"/>
  <c r="D149" i="39"/>
  <c r="G148" i="39"/>
  <c r="F155" i="18"/>
  <c r="E73" i="24"/>
  <c r="E74" i="24" s="1"/>
  <c r="I72" i="24"/>
  <c r="G152" i="26"/>
  <c r="D153" i="26"/>
  <c r="J151" i="26"/>
  <c r="I70" i="28"/>
  <c r="G70" i="23"/>
  <c r="I70" i="23" s="1"/>
  <c r="H64" i="38"/>
  <c r="I64" i="38" s="1"/>
  <c r="H66" i="31"/>
  <c r="I66" i="31" s="1"/>
  <c r="H70" i="27"/>
  <c r="I70" i="27" s="1"/>
  <c r="D67" i="35"/>
  <c r="E67" i="35" s="1"/>
  <c r="G66" i="35"/>
  <c r="H66" i="35"/>
  <c r="B70" i="22"/>
  <c r="D69" i="25"/>
  <c r="E69" i="25" s="1"/>
  <c r="D66" i="37"/>
  <c r="E66" i="37" s="1"/>
  <c r="D67" i="34"/>
  <c r="E67" i="34" s="1"/>
  <c r="H73" i="4"/>
  <c r="G73" i="4"/>
  <c r="G74" i="4" s="1"/>
  <c r="F73" i="18"/>
  <c r="H73" i="18" s="1"/>
  <c r="B73" i="18"/>
  <c r="D70" i="26"/>
  <c r="E70" i="26" s="1"/>
  <c r="D65" i="38"/>
  <c r="E65" i="38" s="1"/>
  <c r="D150" i="35"/>
  <c r="G149" i="35"/>
  <c r="B71" i="21"/>
  <c r="F71" i="21"/>
  <c r="H71" i="21" s="1"/>
  <c r="D68" i="29"/>
  <c r="E68" i="29" s="1"/>
  <c r="G69" i="26"/>
  <c r="I69" i="26" s="1"/>
  <c r="G66" i="34"/>
  <c r="I66" i="34" s="1"/>
  <c r="D71" i="27"/>
  <c r="E71" i="27" s="1"/>
  <c r="B73" i="19"/>
  <c r="F73" i="19"/>
  <c r="H73" i="19" s="1"/>
  <c r="G67" i="29"/>
  <c r="D69" i="13"/>
  <c r="E69" i="13" s="1"/>
  <c r="G68" i="13"/>
  <c r="I68" i="13" s="1"/>
  <c r="J148" i="31"/>
  <c r="D67" i="31"/>
  <c r="E67" i="31" s="1"/>
  <c r="D71" i="23"/>
  <c r="E71" i="23" s="1"/>
  <c r="H68" i="25"/>
  <c r="I68" i="25" s="1"/>
  <c r="G65" i="37"/>
  <c r="I65" i="37" s="1"/>
  <c r="H67" i="29"/>
  <c r="E70" i="22"/>
  <c r="F70" i="22" s="1"/>
  <c r="G148" i="37"/>
  <c r="D149" i="37"/>
  <c r="J155" i="4"/>
  <c r="J156" i="4" s="1"/>
  <c r="I156" i="4"/>
  <c r="J154" i="19"/>
  <c r="J148" i="20"/>
  <c r="G149" i="31"/>
  <c r="D150" i="31"/>
  <c r="J153" i="28"/>
  <c r="G154" i="29"/>
  <c r="D155" i="29"/>
  <c r="B153" i="21"/>
  <c r="I148" i="38"/>
  <c r="I155" i="19"/>
  <c r="B153" i="24"/>
  <c r="I152" i="25"/>
  <c r="B149" i="38"/>
  <c r="I152" i="24"/>
  <c r="I148" i="34"/>
  <c r="E149" i="38"/>
  <c r="F149" i="38" s="1"/>
  <c r="H149" i="38" s="1"/>
  <c r="B149" i="34"/>
  <c r="I152" i="21"/>
  <c r="I152" i="27"/>
  <c r="B150" i="13"/>
  <c r="B153" i="27"/>
  <c r="B153" i="25"/>
  <c r="H149" i="13"/>
  <c r="I149" i="13"/>
  <c r="E153" i="21"/>
  <c r="F153" i="21" s="1"/>
  <c r="H153" i="21" s="1"/>
  <c r="E153" i="25"/>
  <c r="F153" i="25" s="1"/>
  <c r="H153" i="25" s="1"/>
  <c r="E150" i="13"/>
  <c r="F150" i="13" s="1"/>
  <c r="G152" i="22"/>
  <c r="D153" i="22"/>
  <c r="G149" i="20"/>
  <c r="D150" i="20"/>
  <c r="J151" i="22"/>
  <c r="J155" i="3"/>
  <c r="J156" i="3" s="1"/>
  <c r="I156" i="3"/>
  <c r="H155" i="19" l="1"/>
  <c r="H156" i="19" s="1"/>
  <c r="I67" i="39"/>
  <c r="E68" i="39"/>
  <c r="F68" i="39" s="1"/>
  <c r="D69" i="39" s="1"/>
  <c r="B68" i="39"/>
  <c r="E153" i="22"/>
  <c r="F153" i="22" s="1"/>
  <c r="H153" i="22" s="1"/>
  <c r="G155" i="18"/>
  <c r="I155" i="18" s="1"/>
  <c r="H155" i="18"/>
  <c r="E150" i="31"/>
  <c r="F150" i="31" s="1"/>
  <c r="H150" i="31" s="1"/>
  <c r="E155" i="29"/>
  <c r="E156" i="29" s="1"/>
  <c r="E156" i="28"/>
  <c r="I148" i="39"/>
  <c r="E149" i="39"/>
  <c r="F149" i="39" s="1"/>
  <c r="H149" i="39" s="1"/>
  <c r="B149" i="39"/>
  <c r="F73" i="24"/>
  <c r="E153" i="26"/>
  <c r="F153" i="26" s="1"/>
  <c r="H153" i="26" s="1"/>
  <c r="B153" i="26"/>
  <c r="I152" i="26"/>
  <c r="G73" i="18"/>
  <c r="G74" i="18" s="1"/>
  <c r="I67" i="29"/>
  <c r="G73" i="19"/>
  <c r="G74" i="19" s="1"/>
  <c r="G71" i="21"/>
  <c r="I71" i="21" s="1"/>
  <c r="I66" i="35"/>
  <c r="D71" i="22"/>
  <c r="E71" i="22" s="1"/>
  <c r="G70" i="22"/>
  <c r="H70" i="22"/>
  <c r="I73" i="4"/>
  <c r="I74" i="4" s="1"/>
  <c r="H74" i="4"/>
  <c r="I149" i="35"/>
  <c r="E150" i="35"/>
  <c r="F150" i="35" s="1"/>
  <c r="H150" i="35" s="1"/>
  <c r="B150" i="35"/>
  <c r="B67" i="34"/>
  <c r="F67" i="34"/>
  <c r="B71" i="23"/>
  <c r="F71" i="23"/>
  <c r="H71" i="23" s="1"/>
  <c r="F68" i="29"/>
  <c r="G68" i="29" s="1"/>
  <c r="B71" i="28"/>
  <c r="H74" i="18"/>
  <c r="B69" i="13"/>
  <c r="F69" i="13"/>
  <c r="H69" i="13" s="1"/>
  <c r="F65" i="38"/>
  <c r="G65" i="38" s="1"/>
  <c r="B65" i="38"/>
  <c r="B66" i="37"/>
  <c r="F66" i="37"/>
  <c r="G66" i="37" s="1"/>
  <c r="B71" i="27"/>
  <c r="F71" i="27"/>
  <c r="H71" i="27" s="1"/>
  <c r="H74" i="19"/>
  <c r="B67" i="31"/>
  <c r="F67" i="31"/>
  <c r="H67" i="31" s="1"/>
  <c r="D72" i="21"/>
  <c r="E72" i="21" s="1"/>
  <c r="B70" i="26"/>
  <c r="F70" i="26"/>
  <c r="G70" i="26" s="1"/>
  <c r="B69" i="25"/>
  <c r="F69" i="25"/>
  <c r="H69" i="25" s="1"/>
  <c r="B67" i="35"/>
  <c r="F67" i="35"/>
  <c r="H67" i="35" s="1"/>
  <c r="E149" i="37"/>
  <c r="F149" i="37" s="1"/>
  <c r="H149" i="37" s="1"/>
  <c r="B149" i="37"/>
  <c r="I148" i="37"/>
  <c r="J152" i="24"/>
  <c r="B150" i="31"/>
  <c r="I149" i="31"/>
  <c r="J152" i="27"/>
  <c r="D154" i="21"/>
  <c r="G153" i="21"/>
  <c r="D154" i="25"/>
  <c r="G153" i="25"/>
  <c r="G150" i="13"/>
  <c r="D151" i="13"/>
  <c r="E151" i="13" s="1"/>
  <c r="J152" i="21"/>
  <c r="G153" i="27"/>
  <c r="D154" i="27"/>
  <c r="G149" i="34"/>
  <c r="D150" i="34"/>
  <c r="D150" i="38"/>
  <c r="G149" i="38"/>
  <c r="B155" i="28"/>
  <c r="G153" i="24"/>
  <c r="D154" i="24"/>
  <c r="F155" i="29"/>
  <c r="G155" i="29" s="1"/>
  <c r="I156" i="19"/>
  <c r="I154" i="29"/>
  <c r="H149" i="20"/>
  <c r="I149" i="20"/>
  <c r="B150" i="20"/>
  <c r="E150" i="20"/>
  <c r="F150" i="20" s="1"/>
  <c r="B153" i="22"/>
  <c r="I152" i="22"/>
  <c r="J155" i="19" l="1"/>
  <c r="J156" i="19" s="1"/>
  <c r="E69" i="39"/>
  <c r="B69" i="39"/>
  <c r="F69" i="39"/>
  <c r="H69" i="39" s="1"/>
  <c r="H68" i="39"/>
  <c r="G68" i="39"/>
  <c r="E154" i="25"/>
  <c r="F154" i="25" s="1"/>
  <c r="H154" i="25" s="1"/>
  <c r="E154" i="24"/>
  <c r="F154" i="24" s="1"/>
  <c r="H154" i="24" s="1"/>
  <c r="E154" i="27"/>
  <c r="E154" i="21"/>
  <c r="F154" i="21" s="1"/>
  <c r="H154" i="21" s="1"/>
  <c r="H156" i="18"/>
  <c r="E150" i="38"/>
  <c r="F150" i="38" s="1"/>
  <c r="H150" i="38" s="1"/>
  <c r="H155" i="29"/>
  <c r="H156" i="29" s="1"/>
  <c r="H156" i="28"/>
  <c r="G149" i="39"/>
  <c r="D150" i="39"/>
  <c r="I156" i="18"/>
  <c r="J155" i="18"/>
  <c r="J156" i="18" s="1"/>
  <c r="I73" i="18"/>
  <c r="I74" i="18" s="1"/>
  <c r="H73" i="24"/>
  <c r="G73" i="24"/>
  <c r="G74" i="24" s="1"/>
  <c r="J152" i="26"/>
  <c r="D154" i="26"/>
  <c r="G153" i="26"/>
  <c r="I73" i="19"/>
  <c r="I74" i="19" s="1"/>
  <c r="I70" i="22"/>
  <c r="H70" i="26"/>
  <c r="I70" i="26" s="1"/>
  <c r="H65" i="38"/>
  <c r="I65" i="38" s="1"/>
  <c r="G71" i="23"/>
  <c r="I71" i="23" s="1"/>
  <c r="H66" i="37"/>
  <c r="I66" i="37" s="1"/>
  <c r="D70" i="13"/>
  <c r="E70" i="13" s="1"/>
  <c r="D68" i="34"/>
  <c r="E68" i="34" s="1"/>
  <c r="G67" i="34"/>
  <c r="D70" i="25"/>
  <c r="B72" i="21"/>
  <c r="F72" i="21"/>
  <c r="H72" i="21" s="1"/>
  <c r="D72" i="27"/>
  <c r="E72" i="27" s="1"/>
  <c r="G69" i="13"/>
  <c r="I69" i="13" s="1"/>
  <c r="D69" i="29"/>
  <c r="E69" i="29" s="1"/>
  <c r="D67" i="37"/>
  <c r="E67" i="37" s="1"/>
  <c r="G67" i="31"/>
  <c r="I67" i="31" s="1"/>
  <c r="G71" i="27"/>
  <c r="I71" i="27" s="1"/>
  <c r="H68" i="29"/>
  <c r="I68" i="29" s="1"/>
  <c r="H67" i="34"/>
  <c r="D68" i="35"/>
  <c r="E68" i="35" s="1"/>
  <c r="G69" i="25"/>
  <c r="I69" i="25" s="1"/>
  <c r="D71" i="26"/>
  <c r="E71" i="26" s="1"/>
  <c r="D68" i="31"/>
  <c r="E68" i="31" s="1"/>
  <c r="D72" i="23"/>
  <c r="E72" i="23" s="1"/>
  <c r="D151" i="35"/>
  <c r="G150" i="35"/>
  <c r="G67" i="35"/>
  <c r="I67" i="35" s="1"/>
  <c r="D66" i="38"/>
  <c r="E66" i="38" s="1"/>
  <c r="B71" i="22"/>
  <c r="F71" i="22"/>
  <c r="H71" i="22" s="1"/>
  <c r="D150" i="37"/>
  <c r="G149" i="37"/>
  <c r="J149" i="31"/>
  <c r="G150" i="31"/>
  <c r="D151" i="31"/>
  <c r="J154" i="28"/>
  <c r="B150" i="34"/>
  <c r="I149" i="34"/>
  <c r="I153" i="25"/>
  <c r="E150" i="34"/>
  <c r="F150" i="34" s="1"/>
  <c r="H150" i="34" s="1"/>
  <c r="H150" i="13"/>
  <c r="I150" i="13"/>
  <c r="B154" i="27"/>
  <c r="F154" i="27"/>
  <c r="H154" i="27" s="1"/>
  <c r="B154" i="25"/>
  <c r="B154" i="24"/>
  <c r="I149" i="38"/>
  <c r="I153" i="27"/>
  <c r="J149" i="20"/>
  <c r="I153" i="24"/>
  <c r="I153" i="21"/>
  <c r="I155" i="29"/>
  <c r="I156" i="29" s="1"/>
  <c r="B150" i="38"/>
  <c r="B151" i="13"/>
  <c r="F151" i="13"/>
  <c r="B154" i="21"/>
  <c r="G150" i="20"/>
  <c r="D151" i="20"/>
  <c r="D154" i="22"/>
  <c r="G153" i="22"/>
  <c r="J152" i="22"/>
  <c r="G69" i="39" l="1"/>
  <c r="I69" i="39" s="1"/>
  <c r="D70" i="39"/>
  <c r="I68" i="39"/>
  <c r="E154" i="22"/>
  <c r="F154" i="22" s="1"/>
  <c r="H154" i="22" s="1"/>
  <c r="B150" i="39"/>
  <c r="I149" i="39"/>
  <c r="E150" i="39"/>
  <c r="F150" i="39" s="1"/>
  <c r="H150" i="39" s="1"/>
  <c r="H74" i="24"/>
  <c r="I73" i="24"/>
  <c r="I74" i="24" s="1"/>
  <c r="I153" i="26"/>
  <c r="B154" i="26"/>
  <c r="E154" i="26"/>
  <c r="F154" i="26" s="1"/>
  <c r="H154" i="26" s="1"/>
  <c r="I67" i="34"/>
  <c r="G72" i="21"/>
  <c r="I72" i="21" s="1"/>
  <c r="B70" i="25"/>
  <c r="B68" i="31"/>
  <c r="F68" i="31"/>
  <c r="H68" i="31" s="1"/>
  <c r="F72" i="27"/>
  <c r="G72" i="27" s="1"/>
  <c r="B72" i="27"/>
  <c r="B66" i="38"/>
  <c r="F66" i="38"/>
  <c r="B71" i="26"/>
  <c r="F71" i="26"/>
  <c r="G71" i="26" s="1"/>
  <c r="B68" i="34"/>
  <c r="F68" i="34"/>
  <c r="G68" i="34" s="1"/>
  <c r="I71" i="28"/>
  <c r="I150" i="35"/>
  <c r="F67" i="37"/>
  <c r="H67" i="37" s="1"/>
  <c r="B67" i="37"/>
  <c r="D73" i="21"/>
  <c r="E73" i="21" s="1"/>
  <c r="E74" i="21" s="1"/>
  <c r="D72" i="22"/>
  <c r="E72" i="22" s="1"/>
  <c r="E151" i="35"/>
  <c r="F151" i="35" s="1"/>
  <c r="H151" i="35" s="1"/>
  <c r="B151" i="35"/>
  <c r="B70" i="13"/>
  <c r="F70" i="13"/>
  <c r="G70" i="13" s="1"/>
  <c r="B72" i="28"/>
  <c r="G71" i="22"/>
  <c r="I71" i="22" s="1"/>
  <c r="B72" i="23"/>
  <c r="F72" i="23"/>
  <c r="G72" i="23" s="1"/>
  <c r="F68" i="35"/>
  <c r="G68" i="35" s="1"/>
  <c r="B68" i="35"/>
  <c r="F69" i="29"/>
  <c r="G69" i="29" s="1"/>
  <c r="E70" i="25"/>
  <c r="F70" i="25" s="1"/>
  <c r="I149" i="37"/>
  <c r="E150" i="37"/>
  <c r="F150" i="37" s="1"/>
  <c r="H150" i="37" s="1"/>
  <c r="B150" i="37"/>
  <c r="B151" i="31"/>
  <c r="I150" i="31"/>
  <c r="E151" i="31"/>
  <c r="F151" i="31" s="1"/>
  <c r="H151" i="31" s="1"/>
  <c r="J153" i="24"/>
  <c r="G150" i="34"/>
  <c r="D151" i="34"/>
  <c r="D155" i="21"/>
  <c r="G154" i="21"/>
  <c r="J153" i="27"/>
  <c r="G154" i="25"/>
  <c r="D155" i="25"/>
  <c r="D155" i="27"/>
  <c r="G154" i="27"/>
  <c r="D151" i="38"/>
  <c r="G150" i="38"/>
  <c r="J153" i="21"/>
  <c r="G154" i="24"/>
  <c r="D155" i="24"/>
  <c r="G151" i="13"/>
  <c r="D152" i="13"/>
  <c r="J155" i="28"/>
  <c r="J156" i="28" s="1"/>
  <c r="I156" i="28"/>
  <c r="B154" i="22"/>
  <c r="I150" i="20"/>
  <c r="H150" i="20"/>
  <c r="I153" i="22"/>
  <c r="B151" i="20"/>
  <c r="E151" i="20"/>
  <c r="F151" i="20" s="1"/>
  <c r="E70" i="39" l="1"/>
  <c r="F70" i="39" s="1"/>
  <c r="B70" i="39"/>
  <c r="E155" i="25"/>
  <c r="E156" i="25" s="1"/>
  <c r="E155" i="24"/>
  <c r="E156" i="24" s="1"/>
  <c r="E155" i="21"/>
  <c r="E156" i="21" s="1"/>
  <c r="E155" i="27"/>
  <c r="E156" i="27" s="1"/>
  <c r="E151" i="38"/>
  <c r="F151" i="38" s="1"/>
  <c r="H151" i="38" s="1"/>
  <c r="E151" i="34"/>
  <c r="F151" i="34" s="1"/>
  <c r="H151" i="34" s="1"/>
  <c r="G150" i="39"/>
  <c r="D151" i="39"/>
  <c r="D155" i="26"/>
  <c r="G154" i="26"/>
  <c r="J153" i="26"/>
  <c r="J150" i="31"/>
  <c r="G67" i="37"/>
  <c r="I67" i="37" s="1"/>
  <c r="H68" i="35"/>
  <c r="I68" i="35" s="1"/>
  <c r="H69" i="29"/>
  <c r="I69" i="29" s="1"/>
  <c r="H68" i="34"/>
  <c r="I68" i="34" s="1"/>
  <c r="H70" i="13"/>
  <c r="I70" i="13" s="1"/>
  <c r="H72" i="27"/>
  <c r="I72" i="27" s="1"/>
  <c r="D71" i="25"/>
  <c r="E71" i="25" s="1"/>
  <c r="H70" i="25"/>
  <c r="G70" i="25"/>
  <c r="D67" i="38"/>
  <c r="E67" i="38" s="1"/>
  <c r="D152" i="35"/>
  <c r="G151" i="35"/>
  <c r="D69" i="31"/>
  <c r="E69" i="31" s="1"/>
  <c r="G66" i="38"/>
  <c r="D69" i="35"/>
  <c r="E69" i="35" s="1"/>
  <c r="E74" i="28"/>
  <c r="D68" i="37"/>
  <c r="E68" i="37" s="1"/>
  <c r="I72" i="28"/>
  <c r="D72" i="26"/>
  <c r="E72" i="26" s="1"/>
  <c r="D73" i="23"/>
  <c r="F72" i="22"/>
  <c r="G72" i="22" s="1"/>
  <c r="B72" i="22"/>
  <c r="D70" i="29"/>
  <c r="E70" i="29" s="1"/>
  <c r="D71" i="13"/>
  <c r="E71" i="13" s="1"/>
  <c r="H71" i="26"/>
  <c r="I71" i="26" s="1"/>
  <c r="D73" i="27"/>
  <c r="E73" i="27" s="1"/>
  <c r="E74" i="27" s="1"/>
  <c r="H72" i="23"/>
  <c r="I72" i="23" s="1"/>
  <c r="F73" i="21"/>
  <c r="H73" i="21" s="1"/>
  <c r="B73" i="21"/>
  <c r="D69" i="34"/>
  <c r="E69" i="34" s="1"/>
  <c r="H66" i="38"/>
  <c r="G68" i="31"/>
  <c r="I68" i="31" s="1"/>
  <c r="D151" i="37"/>
  <c r="G150" i="37"/>
  <c r="D152" i="31"/>
  <c r="G151" i="31"/>
  <c r="I150" i="38"/>
  <c r="I154" i="24"/>
  <c r="I154" i="25"/>
  <c r="I154" i="21"/>
  <c r="B155" i="24"/>
  <c r="B155" i="21"/>
  <c r="B151" i="38"/>
  <c r="H151" i="13"/>
  <c r="I151" i="13"/>
  <c r="I154" i="27"/>
  <c r="B151" i="34"/>
  <c r="B155" i="25"/>
  <c r="F155" i="25"/>
  <c r="G155" i="25" s="1"/>
  <c r="B152" i="13"/>
  <c r="E152" i="13"/>
  <c r="F152" i="13" s="1"/>
  <c r="B155" i="27"/>
  <c r="I150" i="34"/>
  <c r="G151" i="20"/>
  <c r="D152" i="20"/>
  <c r="D155" i="22"/>
  <c r="G154" i="22"/>
  <c r="J153" i="22"/>
  <c r="J150" i="20"/>
  <c r="D71" i="39" l="1"/>
  <c r="E71" i="39" s="1"/>
  <c r="F71" i="39" s="1"/>
  <c r="G71" i="39" s="1"/>
  <c r="G70" i="39"/>
  <c r="B71" i="39"/>
  <c r="H70" i="39"/>
  <c r="F155" i="21"/>
  <c r="G155" i="21" s="1"/>
  <c r="I155" i="21" s="1"/>
  <c r="F155" i="27"/>
  <c r="G155" i="27" s="1"/>
  <c r="H155" i="25"/>
  <c r="H156" i="25" s="1"/>
  <c r="F155" i="24"/>
  <c r="E155" i="22"/>
  <c r="E156" i="22" s="1"/>
  <c r="E152" i="31"/>
  <c r="B151" i="39"/>
  <c r="I150" i="39"/>
  <c r="E151" i="39"/>
  <c r="F151" i="39" s="1"/>
  <c r="H151" i="39" s="1"/>
  <c r="I154" i="26"/>
  <c r="E155" i="26"/>
  <c r="E156" i="26" s="1"/>
  <c r="B155" i="26"/>
  <c r="J154" i="21"/>
  <c r="I66" i="38"/>
  <c r="H72" i="22"/>
  <c r="I72" i="22" s="1"/>
  <c r="H74" i="21"/>
  <c r="G73" i="21"/>
  <c r="G74" i="21" s="1"/>
  <c r="F69" i="35"/>
  <c r="H69" i="35" s="1"/>
  <c r="B69" i="35"/>
  <c r="F70" i="29"/>
  <c r="B72" i="26"/>
  <c r="F72" i="26"/>
  <c r="G72" i="26" s="1"/>
  <c r="B67" i="38"/>
  <c r="F67" i="38"/>
  <c r="B73" i="27"/>
  <c r="F73" i="27"/>
  <c r="H73" i="27" s="1"/>
  <c r="B68" i="37"/>
  <c r="F68" i="37"/>
  <c r="G68" i="37" s="1"/>
  <c r="F69" i="31"/>
  <c r="H69" i="31" s="1"/>
  <c r="B69" i="31"/>
  <c r="I70" i="25"/>
  <c r="B73" i="23"/>
  <c r="B69" i="34"/>
  <c r="F69" i="34"/>
  <c r="H69" i="34" s="1"/>
  <c r="D73" i="22"/>
  <c r="I151" i="35"/>
  <c r="F71" i="13"/>
  <c r="H71" i="13" s="1"/>
  <c r="B71" i="13"/>
  <c r="E73" i="23"/>
  <c r="E74" i="23" s="1"/>
  <c r="B73" i="28"/>
  <c r="E152" i="35"/>
  <c r="F152" i="35" s="1"/>
  <c r="H152" i="35" s="1"/>
  <c r="B152" i="35"/>
  <c r="F71" i="25"/>
  <c r="H71" i="25" s="1"/>
  <c r="B71" i="25"/>
  <c r="I150" i="37"/>
  <c r="E151" i="37"/>
  <c r="F151" i="37" s="1"/>
  <c r="H151" i="37" s="1"/>
  <c r="B151" i="37"/>
  <c r="I151" i="31"/>
  <c r="B152" i="31"/>
  <c r="F152" i="31"/>
  <c r="H152" i="31" s="1"/>
  <c r="J154" i="24"/>
  <c r="J154" i="27"/>
  <c r="G152" i="13"/>
  <c r="D153" i="13"/>
  <c r="E153" i="13" s="1"/>
  <c r="G151" i="34"/>
  <c r="D152" i="34"/>
  <c r="I155" i="25"/>
  <c r="I156" i="25" s="1"/>
  <c r="I155" i="27"/>
  <c r="G151" i="38"/>
  <c r="D152" i="38"/>
  <c r="I154" i="22"/>
  <c r="B152" i="20"/>
  <c r="B155" i="22"/>
  <c r="E152" i="20"/>
  <c r="F152" i="20" s="1"/>
  <c r="H151" i="20"/>
  <c r="I151" i="20"/>
  <c r="H155" i="21" l="1"/>
  <c r="H156" i="21" s="1"/>
  <c r="F155" i="22"/>
  <c r="G155" i="22" s="1"/>
  <c r="H71" i="39"/>
  <c r="I71" i="39" s="1"/>
  <c r="D72" i="39"/>
  <c r="I70" i="39"/>
  <c r="H155" i="27"/>
  <c r="H156" i="27" s="1"/>
  <c r="G155" i="24"/>
  <c r="I155" i="24" s="1"/>
  <c r="I156" i="24" s="1"/>
  <c r="H155" i="24"/>
  <c r="H156" i="24" s="1"/>
  <c r="E152" i="38"/>
  <c r="F152" i="38" s="1"/>
  <c r="H152" i="38" s="1"/>
  <c r="G151" i="39"/>
  <c r="D152" i="39"/>
  <c r="J151" i="31"/>
  <c r="G69" i="31"/>
  <c r="I69" i="31" s="1"/>
  <c r="F155" i="26"/>
  <c r="J154" i="26"/>
  <c r="J154" i="22"/>
  <c r="G71" i="13"/>
  <c r="I71" i="13" s="1"/>
  <c r="G69" i="34"/>
  <c r="I69" i="34" s="1"/>
  <c r="H68" i="37"/>
  <c r="I68" i="37" s="1"/>
  <c r="G74" i="28"/>
  <c r="H74" i="27"/>
  <c r="H74" i="28"/>
  <c r="D68" i="38"/>
  <c r="E68" i="38" s="1"/>
  <c r="G152" i="35"/>
  <c r="D153" i="35"/>
  <c r="D72" i="13"/>
  <c r="D70" i="34"/>
  <c r="E70" i="34" s="1"/>
  <c r="G73" i="27"/>
  <c r="G74" i="27" s="1"/>
  <c r="D73" i="26"/>
  <c r="E73" i="26" s="1"/>
  <c r="E74" i="26" s="1"/>
  <c r="D70" i="35"/>
  <c r="E70" i="35" s="1"/>
  <c r="G69" i="35"/>
  <c r="I69" i="35" s="1"/>
  <c r="B73" i="22"/>
  <c r="D71" i="29"/>
  <c r="E71" i="29" s="1"/>
  <c r="D70" i="31"/>
  <c r="E70" i="31" s="1"/>
  <c r="H72" i="26"/>
  <c r="I72" i="26" s="1"/>
  <c r="D69" i="37"/>
  <c r="H67" i="38"/>
  <c r="H70" i="29"/>
  <c r="D72" i="25"/>
  <c r="E72" i="25" s="1"/>
  <c r="G71" i="25"/>
  <c r="I71" i="25" s="1"/>
  <c r="E73" i="22"/>
  <c r="E74" i="22" s="1"/>
  <c r="F73" i="23"/>
  <c r="G67" i="38"/>
  <c r="G70" i="29"/>
  <c r="I73" i="21"/>
  <c r="I74" i="21" s="1"/>
  <c r="G151" i="37"/>
  <c r="D152" i="37"/>
  <c r="D153" i="31"/>
  <c r="G152" i="31"/>
  <c r="B152" i="34"/>
  <c r="J155" i="21"/>
  <c r="J156" i="21" s="1"/>
  <c r="I156" i="21"/>
  <c r="J155" i="27"/>
  <c r="J156" i="27" s="1"/>
  <c r="I156" i="27"/>
  <c r="I151" i="34"/>
  <c r="B152" i="38"/>
  <c r="I151" i="38"/>
  <c r="B153" i="13"/>
  <c r="F153" i="13"/>
  <c r="E152" i="34"/>
  <c r="F152" i="34" s="1"/>
  <c r="H152" i="34" s="1"/>
  <c r="H152" i="13"/>
  <c r="I152" i="13"/>
  <c r="G152" i="20"/>
  <c r="D153" i="20"/>
  <c r="I155" i="22"/>
  <c r="J151" i="20"/>
  <c r="J155" i="24" l="1"/>
  <c r="J156" i="24" s="1"/>
  <c r="H155" i="22"/>
  <c r="H156" i="22" s="1"/>
  <c r="E72" i="39"/>
  <c r="F72" i="39" s="1"/>
  <c r="G72" i="39" s="1"/>
  <c r="G155" i="26"/>
  <c r="I155" i="26" s="1"/>
  <c r="H155" i="26"/>
  <c r="H156" i="26" s="1"/>
  <c r="B153" i="31"/>
  <c r="B152" i="39"/>
  <c r="E152" i="39"/>
  <c r="F152" i="39" s="1"/>
  <c r="H152" i="39" s="1"/>
  <c r="I151" i="39"/>
  <c r="I73" i="28"/>
  <c r="I74" i="28" s="1"/>
  <c r="E153" i="31"/>
  <c r="F153" i="31" s="1"/>
  <c r="G153" i="31" s="1"/>
  <c r="I153" i="31" s="1"/>
  <c r="I70" i="29"/>
  <c r="B70" i="34"/>
  <c r="F70" i="34"/>
  <c r="F68" i="38"/>
  <c r="G68" i="38" s="1"/>
  <c r="B68" i="38"/>
  <c r="B69" i="37"/>
  <c r="B70" i="31"/>
  <c r="F70" i="31"/>
  <c r="H70" i="31" s="1"/>
  <c r="B72" i="25"/>
  <c r="F72" i="25"/>
  <c r="H72" i="25" s="1"/>
  <c r="E72" i="13"/>
  <c r="F72" i="13" s="1"/>
  <c r="F71" i="29"/>
  <c r="H71" i="29" s="1"/>
  <c r="B70" i="35"/>
  <c r="F70" i="35"/>
  <c r="G73" i="23"/>
  <c r="G74" i="23" s="1"/>
  <c r="H73" i="23"/>
  <c r="I152" i="35"/>
  <c r="I67" i="38"/>
  <c r="F73" i="22"/>
  <c r="E69" i="37"/>
  <c r="F69" i="37" s="1"/>
  <c r="B73" i="26"/>
  <c r="F73" i="26"/>
  <c r="H73" i="26" s="1"/>
  <c r="E153" i="35"/>
  <c r="F153" i="35" s="1"/>
  <c r="H153" i="35" s="1"/>
  <c r="B153" i="35"/>
  <c r="I73" i="27"/>
  <c r="I74" i="27" s="1"/>
  <c r="E152" i="37"/>
  <c r="F152" i="37" s="1"/>
  <c r="H152" i="37" s="1"/>
  <c r="B152" i="37"/>
  <c r="I151" i="37"/>
  <c r="I152" i="31"/>
  <c r="G152" i="34"/>
  <c r="D153" i="34"/>
  <c r="D154" i="13"/>
  <c r="E154" i="13" s="1"/>
  <c r="G153" i="13"/>
  <c r="G152" i="38"/>
  <c r="D153" i="38"/>
  <c r="J155" i="22"/>
  <c r="J156" i="22" s="1"/>
  <c r="I156" i="22"/>
  <c r="H152" i="20"/>
  <c r="I152" i="20"/>
  <c r="B153" i="20"/>
  <c r="E153" i="20"/>
  <c r="F153" i="20" s="1"/>
  <c r="H72" i="39" l="1"/>
  <c r="D73" i="39"/>
  <c r="H153" i="31"/>
  <c r="J153" i="31" s="1"/>
  <c r="E153" i="38"/>
  <c r="F153" i="38" s="1"/>
  <c r="H153" i="38" s="1"/>
  <c r="E153" i="34"/>
  <c r="F153" i="34" s="1"/>
  <c r="H153" i="34" s="1"/>
  <c r="D153" i="39"/>
  <c r="G152" i="39"/>
  <c r="G73" i="26"/>
  <c r="G74" i="26" s="1"/>
  <c r="D154" i="31"/>
  <c r="I156" i="26"/>
  <c r="J155" i="26"/>
  <c r="J156" i="26" s="1"/>
  <c r="G71" i="29"/>
  <c r="I71" i="29" s="1"/>
  <c r="H68" i="38"/>
  <c r="I68" i="38" s="1"/>
  <c r="D73" i="13"/>
  <c r="G72" i="13"/>
  <c r="H72" i="13"/>
  <c r="D70" i="37"/>
  <c r="E70" i="37" s="1"/>
  <c r="H69" i="37"/>
  <c r="G69" i="37"/>
  <c r="D71" i="31"/>
  <c r="E71" i="31" s="1"/>
  <c r="D71" i="35"/>
  <c r="E71" i="35" s="1"/>
  <c r="D73" i="25"/>
  <c r="E73" i="25" s="1"/>
  <c r="E74" i="25" s="1"/>
  <c r="H73" i="22"/>
  <c r="G73" i="22"/>
  <c r="G74" i="22" s="1"/>
  <c r="H70" i="35"/>
  <c r="G72" i="25"/>
  <c r="I72" i="25" s="1"/>
  <c r="G70" i="31"/>
  <c r="I70" i="31" s="1"/>
  <c r="D69" i="38"/>
  <c r="E69" i="38" s="1"/>
  <c r="G70" i="35"/>
  <c r="D71" i="34"/>
  <c r="E71" i="34" s="1"/>
  <c r="H74" i="26"/>
  <c r="H70" i="34"/>
  <c r="D154" i="35"/>
  <c r="G153" i="35"/>
  <c r="D72" i="29"/>
  <c r="E72" i="29" s="1"/>
  <c r="G70" i="34"/>
  <c r="I73" i="23"/>
  <c r="I74" i="23" s="1"/>
  <c r="H74" i="23"/>
  <c r="G152" i="37"/>
  <c r="D153" i="37"/>
  <c r="J152" i="31"/>
  <c r="I152" i="38"/>
  <c r="H153" i="13"/>
  <c r="I153" i="13"/>
  <c r="B154" i="13"/>
  <c r="F154" i="13"/>
  <c r="J152" i="20"/>
  <c r="B153" i="34"/>
  <c r="B153" i="38"/>
  <c r="I152" i="34"/>
  <c r="D154" i="20"/>
  <c r="G153" i="20"/>
  <c r="E73" i="39" l="1"/>
  <c r="E74" i="39" s="1"/>
  <c r="B73" i="39"/>
  <c r="I72" i="39"/>
  <c r="E153" i="39"/>
  <c r="F153" i="39" s="1"/>
  <c r="H153" i="39" s="1"/>
  <c r="E154" i="31"/>
  <c r="I152" i="39"/>
  <c r="B153" i="39"/>
  <c r="I73" i="26"/>
  <c r="I74" i="26" s="1"/>
  <c r="B154" i="31"/>
  <c r="F154" i="31"/>
  <c r="G154" i="31" s="1"/>
  <c r="I70" i="34"/>
  <c r="I70" i="35"/>
  <c r="I72" i="13"/>
  <c r="F69" i="38"/>
  <c r="G69" i="38" s="1"/>
  <c r="B69" i="38"/>
  <c r="F73" i="25"/>
  <c r="G73" i="25" s="1"/>
  <c r="G74" i="25" s="1"/>
  <c r="B73" i="25"/>
  <c r="I69" i="37"/>
  <c r="B70" i="37"/>
  <c r="F70" i="37"/>
  <c r="G70" i="37" s="1"/>
  <c r="B71" i="35"/>
  <c r="F71" i="35"/>
  <c r="H71" i="35" s="1"/>
  <c r="F72" i="29"/>
  <c r="B71" i="34"/>
  <c r="F71" i="34"/>
  <c r="H71" i="34" s="1"/>
  <c r="I153" i="35"/>
  <c r="I73" i="22"/>
  <c r="I74" i="22" s="1"/>
  <c r="H74" i="22"/>
  <c r="F71" i="31"/>
  <c r="G71" i="31" s="1"/>
  <c r="B71" i="31"/>
  <c r="B73" i="13"/>
  <c r="E154" i="35"/>
  <c r="F154" i="35" s="1"/>
  <c r="H154" i="35" s="1"/>
  <c r="B154" i="35"/>
  <c r="E73" i="13"/>
  <c r="E74" i="13" s="1"/>
  <c r="E153" i="37"/>
  <c r="F153" i="37" s="1"/>
  <c r="H153" i="37" s="1"/>
  <c r="B153" i="37"/>
  <c r="I152" i="37"/>
  <c r="G153" i="38"/>
  <c r="D154" i="38"/>
  <c r="D155" i="13"/>
  <c r="G154" i="13"/>
  <c r="D154" i="34"/>
  <c r="G153" i="34"/>
  <c r="B154" i="20"/>
  <c r="H153" i="20"/>
  <c r="I153" i="20"/>
  <c r="E154" i="20"/>
  <c r="F154" i="20" s="1"/>
  <c r="F73" i="39" l="1"/>
  <c r="E154" i="38"/>
  <c r="E154" i="34"/>
  <c r="H154" i="31"/>
  <c r="D154" i="39"/>
  <c r="G153" i="39"/>
  <c r="I154" i="31"/>
  <c r="D155" i="31"/>
  <c r="H71" i="31"/>
  <c r="I71" i="31" s="1"/>
  <c r="G71" i="34"/>
  <c r="I71" i="34" s="1"/>
  <c r="D72" i="35"/>
  <c r="E72" i="35" s="1"/>
  <c r="D72" i="34"/>
  <c r="E72" i="34" s="1"/>
  <c r="H73" i="25"/>
  <c r="D72" i="31"/>
  <c r="E72" i="31" s="1"/>
  <c r="D73" i="29"/>
  <c r="E73" i="29" s="1"/>
  <c r="E74" i="29" s="1"/>
  <c r="D71" i="37"/>
  <c r="E71" i="37" s="1"/>
  <c r="G72" i="29"/>
  <c r="H70" i="37"/>
  <c r="I70" i="37" s="1"/>
  <c r="D155" i="35"/>
  <c r="G154" i="35"/>
  <c r="F73" i="13"/>
  <c r="H72" i="29"/>
  <c r="D70" i="38"/>
  <c r="E70" i="38" s="1"/>
  <c r="G71" i="35"/>
  <c r="I71" i="35" s="1"/>
  <c r="H69" i="38"/>
  <c r="I69" i="38" s="1"/>
  <c r="G153" i="37"/>
  <c r="D154" i="37"/>
  <c r="B155" i="13"/>
  <c r="H154" i="13"/>
  <c r="I154" i="13"/>
  <c r="I153" i="34"/>
  <c r="F154" i="38"/>
  <c r="H154" i="38" s="1"/>
  <c r="B154" i="38"/>
  <c r="B154" i="34"/>
  <c r="F154" i="34"/>
  <c r="H154" i="34" s="1"/>
  <c r="I153" i="38"/>
  <c r="J153" i="20"/>
  <c r="E155" i="13"/>
  <c r="E156" i="13" s="1"/>
  <c r="D155" i="20"/>
  <c r="E155" i="20" s="1"/>
  <c r="E156" i="20" s="1"/>
  <c r="G154" i="20"/>
  <c r="G73" i="39" l="1"/>
  <c r="G74" i="39" s="1"/>
  <c r="H73" i="39"/>
  <c r="J154" i="31"/>
  <c r="B154" i="37"/>
  <c r="E155" i="31"/>
  <c r="E156" i="31" s="1"/>
  <c r="I153" i="39"/>
  <c r="B154" i="39"/>
  <c r="E154" i="39"/>
  <c r="F154" i="39" s="1"/>
  <c r="H154" i="39" s="1"/>
  <c r="B155" i="31"/>
  <c r="E154" i="37"/>
  <c r="F154" i="37" s="1"/>
  <c r="H154" i="37" s="1"/>
  <c r="I73" i="25"/>
  <c r="I74" i="25" s="1"/>
  <c r="H74" i="25"/>
  <c r="F72" i="34"/>
  <c r="G72" i="34" s="1"/>
  <c r="B70" i="38"/>
  <c r="F70" i="38"/>
  <c r="F71" i="37"/>
  <c r="G71" i="37" s="1"/>
  <c r="B71" i="37"/>
  <c r="I72" i="29"/>
  <c r="H73" i="13"/>
  <c r="G73" i="13"/>
  <c r="G74" i="13" s="1"/>
  <c r="F73" i="29"/>
  <c r="G73" i="29" s="1"/>
  <c r="G74" i="29" s="1"/>
  <c r="F72" i="35"/>
  <c r="H72" i="35" s="1"/>
  <c r="I154" i="35"/>
  <c r="E155" i="35"/>
  <c r="E156" i="35" s="1"/>
  <c r="B155" i="35"/>
  <c r="F72" i="31"/>
  <c r="G72" i="31" s="1"/>
  <c r="B72" i="31"/>
  <c r="I153" i="37"/>
  <c r="D155" i="34"/>
  <c r="G154" i="34"/>
  <c r="G154" i="38"/>
  <c r="D155" i="38"/>
  <c r="F155" i="13"/>
  <c r="G155" i="13" s="1"/>
  <c r="I154" i="20"/>
  <c r="H154" i="20"/>
  <c r="B155" i="20"/>
  <c r="F155" i="20"/>
  <c r="G155" i="20" s="1"/>
  <c r="I73" i="39" l="1"/>
  <c r="I74" i="39" s="1"/>
  <c r="H74" i="39"/>
  <c r="F155" i="31"/>
  <c r="G155" i="31" s="1"/>
  <c r="I155" i="31" s="1"/>
  <c r="I156" i="31" s="1"/>
  <c r="E155" i="38"/>
  <c r="E156" i="38" s="1"/>
  <c r="E155" i="34"/>
  <c r="E156" i="34" s="1"/>
  <c r="G154" i="39"/>
  <c r="D155" i="39"/>
  <c r="H72" i="34"/>
  <c r="I72" i="34" s="1"/>
  <c r="F155" i="35"/>
  <c r="D155" i="37"/>
  <c r="G154" i="37"/>
  <c r="H72" i="31"/>
  <c r="I72" i="31" s="1"/>
  <c r="H73" i="29"/>
  <c r="I73" i="29" s="1"/>
  <c r="I74" i="29" s="1"/>
  <c r="H71" i="37"/>
  <c r="I71" i="37" s="1"/>
  <c r="D71" i="38"/>
  <c r="E71" i="38" s="1"/>
  <c r="G70" i="38"/>
  <c r="D73" i="35"/>
  <c r="E73" i="35" s="1"/>
  <c r="E74" i="35" s="1"/>
  <c r="D73" i="31"/>
  <c r="G72" i="35"/>
  <c r="I72" i="35" s="1"/>
  <c r="D73" i="34"/>
  <c r="E73" i="34" s="1"/>
  <c r="E74" i="34" s="1"/>
  <c r="D72" i="37"/>
  <c r="E72" i="37" s="1"/>
  <c r="I73" i="13"/>
  <c r="I74" i="13" s="1"/>
  <c r="H74" i="13"/>
  <c r="H70" i="38"/>
  <c r="B155" i="38"/>
  <c r="I154" i="38"/>
  <c r="I154" i="34"/>
  <c r="H155" i="13"/>
  <c r="H156" i="13" s="1"/>
  <c r="I155" i="13"/>
  <c r="I156" i="13" s="1"/>
  <c r="B155" i="34"/>
  <c r="H155" i="20"/>
  <c r="H156" i="20" s="1"/>
  <c r="I155" i="20"/>
  <c r="J154" i="20"/>
  <c r="F155" i="38" l="1"/>
  <c r="G155" i="38" s="1"/>
  <c r="H155" i="31"/>
  <c r="H156" i="31" s="1"/>
  <c r="H74" i="29"/>
  <c r="F155" i="34"/>
  <c r="G155" i="34" s="1"/>
  <c r="I155" i="34" s="1"/>
  <c r="I156" i="34" s="1"/>
  <c r="H155" i="38"/>
  <c r="H156" i="38" s="1"/>
  <c r="G155" i="35"/>
  <c r="I155" i="35" s="1"/>
  <c r="I156" i="35" s="1"/>
  <c r="H155" i="35"/>
  <c r="B155" i="39"/>
  <c r="E155" i="39"/>
  <c r="E156" i="39" s="1"/>
  <c r="I154" i="39"/>
  <c r="I70" i="38"/>
  <c r="I154" i="37"/>
  <c r="E155" i="37"/>
  <c r="B155" i="37"/>
  <c r="B73" i="31"/>
  <c r="F73" i="35"/>
  <c r="H73" i="35" s="1"/>
  <c r="B73" i="35"/>
  <c r="B73" i="34"/>
  <c r="F73" i="34"/>
  <c r="H73" i="34" s="1"/>
  <c r="F72" i="37"/>
  <c r="H72" i="37" s="1"/>
  <c r="F71" i="38"/>
  <c r="G71" i="38" s="1"/>
  <c r="B71" i="38"/>
  <c r="E73" i="31"/>
  <c r="E74" i="31" s="1"/>
  <c r="I155" i="38"/>
  <c r="I156" i="38" s="1"/>
  <c r="J155" i="20"/>
  <c r="J156" i="20" s="1"/>
  <c r="I156" i="20"/>
  <c r="H155" i="34" l="1"/>
  <c r="H156" i="34" s="1"/>
  <c r="J155" i="31"/>
  <c r="J156" i="31" s="1"/>
  <c r="H156" i="35"/>
  <c r="F155" i="39"/>
  <c r="H155" i="39" s="1"/>
  <c r="G73" i="35"/>
  <c r="G74" i="35" s="1"/>
  <c r="G73" i="34"/>
  <c r="G74" i="34" s="1"/>
  <c r="E156" i="37"/>
  <c r="F155" i="37"/>
  <c r="H71" i="38"/>
  <c r="I71" i="38" s="1"/>
  <c r="H74" i="34"/>
  <c r="H74" i="35"/>
  <c r="D73" i="37"/>
  <c r="F73" i="31"/>
  <c r="G72" i="37"/>
  <c r="I72" i="37" s="1"/>
  <c r="D72" i="38"/>
  <c r="E72" i="38" s="1"/>
  <c r="I73" i="35" l="1"/>
  <c r="I74" i="35" s="1"/>
  <c r="I73" i="34"/>
  <c r="I74" i="34" s="1"/>
  <c r="G155" i="39"/>
  <c r="I155" i="39" s="1"/>
  <c r="I156" i="39" s="1"/>
  <c r="G155" i="37"/>
  <c r="I155" i="37" s="1"/>
  <c r="I156" i="37" s="1"/>
  <c r="H155" i="37"/>
  <c r="H156" i="37" s="1"/>
  <c r="H156" i="39"/>
  <c r="H73" i="31"/>
  <c r="G73" i="31"/>
  <c r="G74" i="31" s="1"/>
  <c r="B73" i="37"/>
  <c r="E73" i="37"/>
  <c r="E74" i="37" s="1"/>
  <c r="F72" i="38"/>
  <c r="G72" i="38" s="1"/>
  <c r="H72" i="38" l="1"/>
  <c r="I72" i="38" s="1"/>
  <c r="F73" i="37"/>
  <c r="D73" i="38"/>
  <c r="I73" i="31"/>
  <c r="I74" i="31" s="1"/>
  <c r="H74" i="31"/>
  <c r="B73" i="38" l="1"/>
  <c r="E73" i="38"/>
  <c r="E74" i="38" s="1"/>
  <c r="G73" i="37"/>
  <c r="G74" i="37" s="1"/>
  <c r="H73" i="37"/>
  <c r="I73" i="37" l="1"/>
  <c r="I74" i="37" s="1"/>
  <c r="H74" i="37"/>
  <c r="F73" i="38"/>
  <c r="G73" i="38" l="1"/>
  <c r="G74" i="38" s="1"/>
  <c r="H73" i="38"/>
  <c r="I73" i="38" l="1"/>
  <c r="I74" i="38" s="1"/>
  <c r="H74" i="38"/>
  <c r="J93" i="3" l="1"/>
  <c r="M89" i="3" s="1"/>
  <c r="L87" i="3" l="1"/>
  <c r="N89" i="3"/>
  <c r="N88" i="3"/>
  <c r="M88" i="3"/>
  <c r="J93" i="38"/>
  <c r="N88" i="38" s="1"/>
  <c r="J93" i="24"/>
  <c r="J93" i="13"/>
  <c r="M19" i="2"/>
  <c r="A4" i="2"/>
  <c r="J93" i="18"/>
  <c r="J93" i="19"/>
  <c r="J93" i="23"/>
  <c r="J93" i="25"/>
  <c r="J93" i="27"/>
  <c r="J93" i="26"/>
  <c r="J93" i="28"/>
  <c r="J93" i="35"/>
  <c r="J93" i="34"/>
  <c r="J93" i="37"/>
  <c r="J93" i="20"/>
  <c r="J93" i="31"/>
  <c r="J93" i="29"/>
  <c r="J93" i="22"/>
  <c r="J93" i="21"/>
  <c r="J93" i="4"/>
  <c r="M90" i="3" l="1"/>
  <c r="L87" i="4"/>
  <c r="N89" i="4"/>
  <c r="N88" i="4"/>
  <c r="M88" i="4"/>
  <c r="M89" i="4"/>
  <c r="M88" i="31"/>
  <c r="L87" i="31"/>
  <c r="N89" i="31"/>
  <c r="N88" i="31"/>
  <c r="M89" i="31"/>
  <c r="M88" i="20"/>
  <c r="L87" i="20"/>
  <c r="N88" i="20"/>
  <c r="N89" i="20"/>
  <c r="M89" i="20"/>
  <c r="N88" i="23"/>
  <c r="N89" i="23"/>
  <c r="M88" i="23"/>
  <c r="L87" i="23"/>
  <c r="M89" i="23"/>
  <c r="N89" i="22"/>
  <c r="N88" i="22"/>
  <c r="L87" i="22"/>
  <c r="M88" i="22"/>
  <c r="M89" i="22"/>
  <c r="N88" i="26"/>
  <c r="M88" i="26"/>
  <c r="L87" i="26"/>
  <c r="N89" i="26"/>
  <c r="M89" i="26"/>
  <c r="L87" i="13"/>
  <c r="N88" i="13"/>
  <c r="M89" i="13"/>
  <c r="N89" i="13"/>
  <c r="M88" i="13"/>
  <c r="O88" i="3"/>
  <c r="M88" i="35"/>
  <c r="L87" i="35"/>
  <c r="N88" i="35"/>
  <c r="N89" i="35"/>
  <c r="M89" i="35"/>
  <c r="N88" i="21"/>
  <c r="N89" i="21"/>
  <c r="L87" i="21"/>
  <c r="M88" i="21"/>
  <c r="M89" i="21"/>
  <c r="N89" i="28"/>
  <c r="N88" i="28"/>
  <c r="L87" i="28"/>
  <c r="M88" i="28"/>
  <c r="M89" i="28"/>
  <c r="M88" i="37"/>
  <c r="L87" i="37"/>
  <c r="N89" i="37"/>
  <c r="N88" i="37"/>
  <c r="M89" i="37"/>
  <c r="M88" i="19"/>
  <c r="N88" i="19"/>
  <c r="L87" i="19"/>
  <c r="N89" i="19"/>
  <c r="M89" i="19"/>
  <c r="M88" i="29"/>
  <c r="N88" i="29"/>
  <c r="L87" i="29"/>
  <c r="N89" i="29"/>
  <c r="M89" i="29"/>
  <c r="N88" i="34"/>
  <c r="N89" i="34"/>
  <c r="L87" i="34"/>
  <c r="M88" i="34"/>
  <c r="M89" i="34"/>
  <c r="L87" i="27"/>
  <c r="M88" i="27"/>
  <c r="N89" i="27"/>
  <c r="N88" i="27"/>
  <c r="M89" i="27"/>
  <c r="L87" i="18"/>
  <c r="N89" i="18"/>
  <c r="M88" i="18"/>
  <c r="N88" i="18"/>
  <c r="M89" i="18"/>
  <c r="N88" i="24"/>
  <c r="N89" i="24"/>
  <c r="M89" i="24"/>
  <c r="L87" i="24"/>
  <c r="M88" i="24"/>
  <c r="N90" i="3"/>
  <c r="O89" i="3"/>
  <c r="O90" i="3" s="1"/>
  <c r="N88" i="25"/>
  <c r="N89" i="25"/>
  <c r="L87" i="25"/>
  <c r="M88" i="25"/>
  <c r="M89" i="25"/>
  <c r="M88" i="38"/>
  <c r="O88" i="38" s="1"/>
  <c r="M89" i="38"/>
  <c r="L87" i="38"/>
  <c r="N89" i="38"/>
  <c r="I18" i="17"/>
  <c r="M90" i="20" l="1"/>
  <c r="M90" i="23"/>
  <c r="M90" i="35"/>
  <c r="M90" i="31"/>
  <c r="M90" i="29"/>
  <c r="O17" i="2"/>
  <c r="N17" i="2"/>
  <c r="R132" i="2" s="1"/>
  <c r="M90" i="19"/>
  <c r="O88" i="35"/>
  <c r="O88" i="27"/>
  <c r="O88" i="19"/>
  <c r="M90" i="38"/>
  <c r="M90" i="34"/>
  <c r="O88" i="34"/>
  <c r="O88" i="29"/>
  <c r="M90" i="28"/>
  <c r="M90" i="37"/>
  <c r="O88" i="31"/>
  <c r="O88" i="37"/>
  <c r="O88" i="4"/>
  <c r="M90" i="22"/>
  <c r="O88" i="22"/>
  <c r="M90" i="25"/>
  <c r="M90" i="27"/>
  <c r="M90" i="26"/>
  <c r="O88" i="26"/>
  <c r="O88" i="25"/>
  <c r="M90" i="13"/>
  <c r="O88" i="20"/>
  <c r="O88" i="18"/>
  <c r="O88" i="28"/>
  <c r="O88" i="13"/>
  <c r="O89" i="25"/>
  <c r="N90" i="25"/>
  <c r="O89" i="24"/>
  <c r="N90" i="24"/>
  <c r="O89" i="28"/>
  <c r="N90" i="28"/>
  <c r="N90" i="21"/>
  <c r="O89" i="21"/>
  <c r="N90" i="23"/>
  <c r="O89" i="23"/>
  <c r="M90" i="4"/>
  <c r="N18" i="2"/>
  <c r="O88" i="24"/>
  <c r="N90" i="18"/>
  <c r="O89" i="18"/>
  <c r="N90" i="27"/>
  <c r="O89" i="27"/>
  <c r="N90" i="37"/>
  <c r="O89" i="37"/>
  <c r="M90" i="21"/>
  <c r="O88" i="21"/>
  <c r="O88" i="23"/>
  <c r="N90" i="31"/>
  <c r="O89" i="31"/>
  <c r="O89" i="38"/>
  <c r="O90" i="38" s="1"/>
  <c r="N90" i="38"/>
  <c r="M90" i="18"/>
  <c r="N90" i="29"/>
  <c r="O89" i="29"/>
  <c r="O89" i="13"/>
  <c r="N90" i="13"/>
  <c r="O18" i="2"/>
  <c r="M90" i="24"/>
  <c r="O89" i="34"/>
  <c r="O90" i="34" s="1"/>
  <c r="N90" i="34"/>
  <c r="O89" i="19"/>
  <c r="N90" i="19"/>
  <c r="N90" i="35"/>
  <c r="O89" i="35"/>
  <c r="O89" i="26"/>
  <c r="N90" i="26"/>
  <c r="N90" i="22"/>
  <c r="O89" i="22"/>
  <c r="O89" i="20"/>
  <c r="N90" i="20"/>
  <c r="O89" i="4"/>
  <c r="N90" i="4"/>
  <c r="I23" i="17"/>
  <c r="I34" i="17"/>
  <c r="I31" i="17"/>
  <c r="I29" i="17"/>
  <c r="I30" i="17"/>
  <c r="I27" i="17"/>
  <c r="I32" i="17"/>
  <c r="I35" i="17"/>
  <c r="I24" i="17"/>
  <c r="I33" i="17"/>
  <c r="I22" i="17"/>
  <c r="I21" i="17"/>
  <c r="I28" i="17"/>
  <c r="I19" i="17"/>
  <c r="I36" i="17"/>
  <c r="I26" i="17"/>
  <c r="I20" i="17"/>
  <c r="I25" i="17"/>
  <c r="O90" i="27" l="1"/>
  <c r="V22" i="17"/>
  <c r="O90" i="35"/>
  <c r="O90" i="31"/>
  <c r="O90" i="29"/>
  <c r="O90" i="4"/>
  <c r="N28" i="2"/>
  <c r="N29" i="2" s="1"/>
  <c r="O90" i="19"/>
  <c r="O90" i="22"/>
  <c r="O90" i="28"/>
  <c r="O90" i="25"/>
  <c r="O90" i="37"/>
  <c r="O90" i="20"/>
  <c r="O90" i="26"/>
  <c r="O90" i="18"/>
  <c r="O90" i="13"/>
  <c r="I39" i="17"/>
  <c r="O90" i="23"/>
  <c r="P18" i="2"/>
  <c r="R135" i="2"/>
  <c r="O19" i="2"/>
  <c r="O20" i="2" s="1"/>
  <c r="N19" i="2"/>
  <c r="N20" i="2" s="1"/>
  <c r="R134" i="2"/>
  <c r="O90" i="21"/>
  <c r="P17" i="2"/>
  <c r="R133" i="2"/>
  <c r="O90" i="24"/>
  <c r="P19" i="2" l="1"/>
  <c r="P20" i="2" s="1"/>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L35" i="17" l="1"/>
  <c r="V35" i="17" s="1"/>
  <c r="L18" i="17"/>
  <c r="L21" i="17"/>
  <c r="V21" i="17" s="1"/>
  <c r="L30" i="17" l="1"/>
  <c r="V30" i="17" s="1"/>
  <c r="L36" i="17"/>
  <c r="V36" i="17" s="1"/>
  <c r="L31" i="17"/>
  <c r="V31" i="17" s="1"/>
  <c r="L20" i="17"/>
  <c r="V20" i="17" s="1"/>
  <c r="L26" i="17"/>
  <c r="V26" i="17" s="1"/>
  <c r="L33" i="17"/>
  <c r="V33" i="17" s="1"/>
  <c r="L28" i="17"/>
  <c r="V28" i="17" s="1"/>
  <c r="L19" i="17"/>
  <c r="V19" i="17" s="1"/>
  <c r="L23" i="17"/>
  <c r="V23" i="17" s="1"/>
  <c r="L24" i="17"/>
  <c r="V24" i="17" s="1"/>
  <c r="L27" i="17"/>
  <c r="V27" i="17" s="1"/>
  <c r="L29" i="17"/>
  <c r="V29" i="17" s="1"/>
  <c r="L25" i="17"/>
  <c r="V25" i="17" s="1"/>
  <c r="L32" i="17"/>
  <c r="V32" i="17" s="1"/>
  <c r="L34" i="17"/>
  <c r="V34" i="17" s="1"/>
  <c r="V18" i="17"/>
  <c r="V39" i="17" l="1"/>
  <c r="L39" i="17"/>
  <c r="D33" i="17"/>
  <c r="D32" i="17"/>
  <c r="D28" i="17"/>
  <c r="D29" i="17"/>
  <c r="D31" i="17"/>
  <c r="D21" i="17"/>
  <c r="D24" i="17"/>
  <c r="D25" i="17"/>
  <c r="D23" i="17"/>
  <c r="D27" i="17"/>
  <c r="D26" i="17"/>
  <c r="D35" i="17"/>
  <c r="D34" i="17"/>
  <c r="D20" i="17"/>
  <c r="D30" i="17"/>
  <c r="D18" i="17"/>
  <c r="D19" i="17"/>
  <c r="D22" i="17"/>
  <c r="Q31" i="17" l="1"/>
  <c r="R31" i="17" s="1"/>
  <c r="T31" i="17" s="1"/>
  <c r="Q28" i="17"/>
  <c r="R28" i="17" s="1"/>
  <c r="T28" i="17" s="1"/>
  <c r="Q27" i="17"/>
  <c r="R27" i="17" s="1"/>
  <c r="T27" i="17" s="1"/>
  <c r="Q18" i="17"/>
  <c r="R18" i="17" s="1"/>
  <c r="Q24" i="17"/>
  <c r="R24" i="17" s="1"/>
  <c r="T24" i="17" s="1"/>
  <c r="Q33" i="17"/>
  <c r="R33" i="17" s="1"/>
  <c r="T33" i="17" s="1"/>
  <c r="Q34" i="17"/>
  <c r="R34" i="17" s="1"/>
  <c r="T34" i="17" s="1"/>
  <c r="Q36" i="17"/>
  <c r="R36" i="17" s="1"/>
  <c r="T36" i="17" s="1"/>
  <c r="Q23" i="17"/>
  <c r="R23" i="17" s="1"/>
  <c r="T23" i="17" s="1"/>
  <c r="Q32" i="17"/>
  <c r="R32" i="17" s="1"/>
  <c r="T32" i="17" s="1"/>
  <c r="Q19" i="17"/>
  <c r="R19" i="17" s="1"/>
  <c r="T19" i="17" s="1"/>
  <c r="Q30" i="17"/>
  <c r="R30" i="17" s="1"/>
  <c r="T30" i="17" s="1"/>
  <c r="Q35" i="17"/>
  <c r="R35" i="17" s="1"/>
  <c r="T35" i="17" s="1"/>
  <c r="Q26" i="17"/>
  <c r="R26" i="17" s="1"/>
  <c r="T26" i="17" s="1"/>
  <c r="Q22" i="17"/>
  <c r="R22" i="17" s="1"/>
  <c r="T22" i="17" s="1"/>
  <c r="Q25" i="17"/>
  <c r="R25" i="17" s="1"/>
  <c r="T25" i="17" s="1"/>
  <c r="Q37" i="17"/>
  <c r="R37" i="17" s="1"/>
  <c r="T37" i="17" s="1"/>
  <c r="Q21" i="17"/>
  <c r="R21" i="17" s="1"/>
  <c r="T21" i="17" s="1"/>
  <c r="Q29" i="17"/>
  <c r="R29" i="17" s="1"/>
  <c r="T29" i="17" s="1"/>
  <c r="Q20" i="17"/>
  <c r="R20" i="17" s="1"/>
  <c r="T20" i="17" s="1"/>
  <c r="R39" i="17" l="1"/>
  <c r="T18" i="17"/>
  <c r="T3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R.Pennybaker</author>
    <author>AEP</author>
  </authors>
  <commentList>
    <comment ref="C16" authorId="0" shapeId="0" xr:uid="{00000000-0006-0000-0000-000001000000}">
      <text>
        <r>
          <rPr>
            <b/>
            <sz val="8"/>
            <color indexed="81"/>
            <rFont val="Tahoma"/>
            <family val="2"/>
          </rPr>
          <t>R.Pennybaker:</t>
        </r>
        <r>
          <rPr>
            <sz val="8"/>
            <color indexed="81"/>
            <rFont val="Tahoma"/>
            <family val="2"/>
          </rPr>
          <t xml:space="preserve">
Project Descriptions are in cell [P.xxx]!$D$7]</t>
        </r>
      </text>
    </comment>
    <comment ref="D16" authorId="0" shapeId="0" xr:uid="{00000000-0006-0000-0000-000002000000}">
      <text>
        <r>
          <rPr>
            <b/>
            <sz val="8"/>
            <color indexed="81"/>
            <rFont val="Tahoma"/>
            <family val="2"/>
          </rPr>
          <t>R.Pennybaker:</t>
        </r>
        <r>
          <rPr>
            <sz val="8"/>
            <color indexed="81"/>
            <rFont val="Tahoma"/>
            <family val="2"/>
          </rPr>
          <t xml:space="preserve">
Year In Service is in cell [P.xxx]!$D$11]</t>
        </r>
      </text>
    </comment>
    <comment ref="E16" authorId="0" shapeId="0" xr:uid="{00000000-0006-0000-0000-000003000000}">
      <text>
        <r>
          <rPr>
            <b/>
            <sz val="8"/>
            <color indexed="81"/>
            <rFont val="Tahoma"/>
            <family val="2"/>
          </rPr>
          <t>R.Pennybaker:</t>
        </r>
        <r>
          <rPr>
            <sz val="8"/>
            <color indexed="81"/>
            <rFont val="Tahoma"/>
            <family val="2"/>
          </rPr>
          <t xml:space="preserve">
Projected Base ARR is in cell [P.xxx]!$N$5]</t>
        </r>
      </text>
    </comment>
    <comment ref="F16" authorId="0" shapeId="0" xr:uid="{00000000-0006-0000-0000-000004000000}">
      <text>
        <r>
          <rPr>
            <b/>
            <sz val="8"/>
            <color indexed="81"/>
            <rFont val="Tahoma"/>
            <family val="2"/>
          </rPr>
          <t>R.Pennybaker:</t>
        </r>
        <r>
          <rPr>
            <sz val="8"/>
            <color indexed="81"/>
            <rFont val="Tahoma"/>
            <family val="2"/>
          </rPr>
          <t xml:space="preserve">
Projected Incentive ARR is in WS-F cell N7.</t>
        </r>
      </text>
    </comment>
    <comment ref="I16" authorId="1" shapeId="0" xr:uid="{00000000-0006-0000-0000-00000500000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xr:uid="{00000000-0006-0000-0000-00000600000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xr:uid="{00000000-0006-0000-0000-00000700000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xr:uid="{00000000-0006-0000-0000-000008000000}">
      <text>
        <r>
          <rPr>
            <b/>
            <sz val="8"/>
            <color indexed="81"/>
            <rFont val="Tahoma"/>
            <family val="2"/>
          </rPr>
          <t>R.Pennybaker:</t>
        </r>
        <r>
          <rPr>
            <sz val="8"/>
            <color indexed="81"/>
            <rFont val="Tahoma"/>
            <family val="2"/>
          </rPr>
          <t xml:space="preserve">
This can also be referred to as the Billing Error.</t>
        </r>
      </text>
    </comment>
    <comment ref="N16" authorId="1" shapeId="0" xr:uid="{00000000-0006-0000-0000-000009000000}">
      <text>
        <r>
          <rPr>
            <b/>
            <sz val="8"/>
            <color indexed="81"/>
            <rFont val="Tahoma"/>
            <family val="2"/>
          </rPr>
          <t>AEP:</t>
        </r>
        <r>
          <rPr>
            <sz val="8"/>
            <color indexed="81"/>
            <rFont val="Tahoma"/>
            <family val="2"/>
          </rPr>
          <t xml:space="preserve">
This is "Prior Year True-Up (WS-G)"; and "Incentive Amounts" O88</t>
        </r>
      </text>
    </comment>
    <comment ref="O16" authorId="1" shapeId="0" xr:uid="{00000000-0006-0000-0000-00000A000000}">
      <text>
        <r>
          <rPr>
            <b/>
            <sz val="8"/>
            <color indexed="81"/>
            <rFont val="Tahoma"/>
            <family val="2"/>
          </rPr>
          <t>AEP:</t>
        </r>
        <r>
          <rPr>
            <sz val="8"/>
            <color indexed="81"/>
            <rFont val="Tahoma"/>
            <family val="2"/>
          </rPr>
          <t xml:space="preserve">
Prior Year Projected (WS-F) and Incentive Amounts [cell O87]</t>
        </r>
      </text>
    </comment>
    <comment ref="C21" authorId="1" shapeId="0" xr:uid="{00000000-0006-0000-0000-00000B00000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39" authorId="0" shapeId="0" xr:uid="{00000000-0006-0000-0000-00000C00000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L19" authorId="0" shapeId="0" xr:uid="{00000000-0006-0000-0100-00000100000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M16" authorId="0" shapeId="0" xr:uid="{00000000-0006-0000-0200-00000100000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D10" authorId="0" shapeId="0" xr:uid="{00000000-0006-0000-0600-00000100000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<sst xmlns="http://schemas.openxmlformats.org/spreadsheetml/2006/main" count="2726" uniqueCount="296">
  <si>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</si>
  <si>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</si>
  <si>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</si>
  <si>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</si>
  <si>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</si>
  <si>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</si>
  <si>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</si>
  <si>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</si>
  <si>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</si>
  <si>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</si>
  <si>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</si>
  <si>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</si>
  <si>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</si>
  <si>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</si>
  <si>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</si>
  <si>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</si>
  <si>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</si>
  <si>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</si>
  <si>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</si>
  <si>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</si>
  <si>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</si>
  <si>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</si>
  <si>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</si>
  <si>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</si>
  <si>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</si>
  <si>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</si>
  <si>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</si>
  <si>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</si>
  <si>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</si>
  <si>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</si>
  <si>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</si>
  <si>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</si>
  <si>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</si>
  <si>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</si>
  <si>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</si>
  <si>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</si>
  <si>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</si>
  <si>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</si>
  <si>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</si>
  <si>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</si>
  <si>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</si>
  <si>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</si>
  <si>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</si>
  <si>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</si>
  <si>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</si>
  <si>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</si>
  <si>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</si>
  <si>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</si>
  <si>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</si>
  <si>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</si>
  <si>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</si>
  <si>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</si>
  <si>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</si>
  <si>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</si>
  <si>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</si>
  <si>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</si>
  <si>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</si>
  <si>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</si>
  <si>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</si>
  <si>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</si>
  <si>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</si>
  <si>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</si>
  <si>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</si>
  <si>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</si>
  <si>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</si>
  <si>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</si>
  <si>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</si>
  <si>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</si>
  <si>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</si>
  <si>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</si>
  <si>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</si>
  <si>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</si>
  <si>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</si>
  <si>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</si>
  <si>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</si>
  <si>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</si>
  <si>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</si>
  <si>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</si>
  <si>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</si>
  <si>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</si>
  <si>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</si>
  <si>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</si>
  <si>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</si>
  <si>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</si>
  <si>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</si>
  <si>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</si>
  <si>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</si>
  <si>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</si>
  <si>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</si>
  <si>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</si>
  <si>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</si>
  <si>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</si>
  <si>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</si>
  <si>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</si>
  <si>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</si>
  <si>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</si>
  <si>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</si>
  <si>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</si>
  <si>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</si>
  <si>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</si>
  <si>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</si>
  <si>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</si>
  <si>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</si>
  <si>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</si>
  <si>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</si>
  <si>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</si>
  <si>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</si>
  <si>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</si>
  <si>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</si>
  <si>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</si>
  <si>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</si>
  <si>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</si>
  <si>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</si>
  <si>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</si>
  <si>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</si>
  <si>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</si>
  <si>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</si>
  <si>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</si>
  <si>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</si>
  <si>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</si>
  <si>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</si>
  <si>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</si>
  <si>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</si>
  <si>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</si>
  <si>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</si>
  <si>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</si>
  <si>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</si>
  <si>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</si>
  <si>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</si>
  <si>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</si>
  <si>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</si>
  <si>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</si>
  <si>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</si>
  <si>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</si>
  <si>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</si>
  <si>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</si>
  <si>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</si>
  <si>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</si>
  <si>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</si>
  <si>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</si>
  <si>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</si>
  <si>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</si>
  <si>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</si>
  <si>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</si>
  <si>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</si>
  <si>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</si>
  <si>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</si>
  <si>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</si>
  <si>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</si>
  <si>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</si>
  <si>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</si>
  <si>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</si>
  <si>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</si>
  <si>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</si>
  <si>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</si>
  <si>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</si>
  <si>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</si>
  <si>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</si>
  <si>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</si>
  <si>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</si>
  <si>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</si>
  <si>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</si>
  <si>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</si>
  <si>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</si>
  <si>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</si>
  <si>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</si>
  <si>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</si>
  <si>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</si>
  <si>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</si>
  <si>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</si>
  <si>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</si>
  <si>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</si>
  <si>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</si>
  <si>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</si>
  <si>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</si>
  <si>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</si>
  <si>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</si>
  <si>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</si>
  <si>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</si>
  <si>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</si>
  <si>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</si>
  <si>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</si>
  <si>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</si>
  <si>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</si>
  <si>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</si>
  <si>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</si>
  <si>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</si>
  <si>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</si>
  <si>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</si>
  <si>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</si>
  <si>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</si>
  <si>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</si>
  <si>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</si>
  <si>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</si>
  <si>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</si>
  <si>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</si>
  <si>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</si>
  <si>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</si>
  <si>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</si>
  <si>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</si>
  <si>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</si>
  <si>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</si>
  <si>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</si>
  <si>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</si>
  <si>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</si>
  <si>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</si>
  <si>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</si>
  <si>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</si>
  <si>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</si>
  <si>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</si>
  <si>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</si>
  <si>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</si>
  <si>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</si>
  <si>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</si>
  <si>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</si>
  <si>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</si>
  <si>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</si>
  <si>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</si>
  <si>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</si>
  <si>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</si>
  <si>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</si>
  <si>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</si>
  <si>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</si>
  <si>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</si>
  <si>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</si>
  <si>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</si>
  <si>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</si>
  <si>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</si>
  <si>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</si>
  <si>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</si>
  <si>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</si>
  <si>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</si>
  <si>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</si>
  <si>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</si>
  <si>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</si>
  <si>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</si>
  <si>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</si>
  <si>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</si>
  <si>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</si>
  <si>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</si>
  <si>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</si>
  <si>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</si>
  <si>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</si>
  <si>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</si>
  <si>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</si>
  <si>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</si>
  <si>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</si>
  <si>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</si>
  <si>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</si>
  <si>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</si>
  <si>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</si>
  <si>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</si>
  <si>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</si>
  <si>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</si>
  <si>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</si>
  <si>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</si>
  <si>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</si>
  <si>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</si>
  <si>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</si>
  <si>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</si>
  <si>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TP2009089</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</si>
  <si>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</si>
  <si>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</si>
  <si>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</si>
  <si>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</si>
  <si>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</si>
  <si>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</si>
  <si>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</si>
  <si>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</si>
  <si>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</si>
  <si>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</si>
  <si>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</si>
  <si>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</si>
  <si>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</si>
  <si>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</si>
  <si>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</si>
  <si>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</si>
  <si>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</si>
  <si>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</si>
  <si>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</si>
  <si>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</si>
  <si>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</si>
  <si>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</si>
  <si>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</si>
  <si>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</si>
  <si>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 xml:space="preserve">Transmission Plant Average Balance </t>
  </si>
  <si>
    <t>Transmission Plant Average Balance for 2018</t>
  </si>
  <si>
    <t>Projected Year</t>
  </si>
  <si>
    <t xml:space="preserve">   Tax Effect of Permanent and Flow Through Differences  (TCOS, ln 110)</t>
  </si>
  <si>
    <t>OKT.019</t>
  </si>
  <si>
    <t xml:space="preserve"> </t>
  </si>
  <si>
    <t>Keystone Dam - Wekiwa 138 kV</t>
  </si>
  <si>
    <t>TP2015118</t>
  </si>
  <si>
    <t>OKT.020</t>
  </si>
  <si>
    <t xml:space="preserve">   Excess DFIT Adjustment  (TCOS, ln 110)</t>
  </si>
  <si>
    <t xml:space="preserve">   Tax Effect of Permanent and Flow Through Differences (TCOS, ln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</si>
</sst>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670">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7" fillId="0" borderId="0" xfId="0" applyFont="1" applyFill="1" applyBorder="1"/>
    <xf numFmtId="10" fontId="7" fillId="0" borderId="0" xfId="0" applyNumberFormat="1" applyFont="1" applyBorder="1"/>
    <xf numFmtId="0" fontId="7" fillId="0" borderId="0" xfId="0" applyFont="1" applyFill="1" applyBorder="1" applyAlignment="1"/>
    <xf numFmtId="0" fontId="14" fillId="0" borderId="0" xfId="191" applyNumberFormat="1" applyFont="1" applyFill="1" applyBorder="1" applyAlignment="1" applyProtection="1">
      <protection locked="0"/>
    </xf>
    <xf numFmtId="0" fontId="6" fillId="0" borderId="0" xfId="0" applyFont="1" applyFill="1"/>
    <xf numFmtId="10" fontId="7" fillId="0" borderId="0" xfId="0" applyNumberFormat="1" applyFont="1"/>
    <xf numFmtId="0" fontId="7" fillId="0" borderId="0" xfId="0" applyFont="1" applyFill="1" applyBorder="1" applyAlignment="1">
      <alignment wrapText="1"/>
    </xf>
    <xf numFmtId="0" fontId="0" fillId="0" borderId="0" xfId="0" applyFill="1"/>
    <xf numFmtId="169" fontId="7" fillId="0" borderId="0" xfId="0" applyNumberFormat="1" applyFont="1"/>
    <xf numFmtId="0" fontId="46" fillId="0" borderId="0" xfId="0" applyFont="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0" fontId="7" fillId="0" borderId="14" xfId="0" applyFont="1" applyFill="1" applyBorder="1" applyAlignment="1">
      <alignment horizontal="right"/>
    </xf>
    <xf numFmtId="0" fontId="7" fillId="0" borderId="16" xfId="0" applyFont="1" applyFill="1" applyBorder="1" applyAlignment="1">
      <alignment horizontal="right"/>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39" fillId="0" borderId="0" xfId="0" quotePrefix="1" applyFont="1" applyAlignment="1">
      <alignment horizontal="left"/>
    </xf>
    <xf numFmtId="0" fontId="68"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69" fontId="39" fillId="0" borderId="16" xfId="86" applyNumberFormat="1" applyFont="1" applyFill="1" applyBorder="1" applyAlignment="1">
      <alignment horizontal="center"/>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0" fontId="0" fillId="0" borderId="0" xfId="0" applyProtection="1"/>
    <xf numFmtId="0" fontId="14" fillId="0" borderId="0" xfId="0" applyNumberFormat="1" applyFont="1" applyAlignment="1" applyProtection="1">
      <alignment horizontal="center"/>
    </xf>
    <xf numFmtId="3" fontId="14" fillId="0" borderId="0" xfId="0" quotePrefix="1" applyNumberFormat="1" applyFont="1" applyFill="1" applyAlignment="1" applyProtection="1">
      <alignment horizontal="center"/>
    </xf>
    <xf numFmtId="0" fontId="14" fillId="0" borderId="0" xfId="0" applyNumberFormat="1" applyFont="1" applyFill="1" applyAlignment="1" applyProtection="1">
      <alignment horizontal="center"/>
    </xf>
    <xf numFmtId="168" fontId="14" fillId="0" borderId="0" xfId="191" applyFont="1" applyFill="1" applyAlignment="1" applyProtection="1"/>
    <xf numFmtId="49" fontId="70" fillId="0" borderId="0" xfId="191" applyNumberFormat="1" applyFont="1" applyFill="1" applyAlignment="1" applyProtection="1">
      <alignment horizontal="center"/>
    </xf>
    <xf numFmtId="3"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xf>
    <xf numFmtId="0" fontId="39" fillId="0" borderId="11" xfId="0" applyFont="1" applyBorder="1" applyAlignment="1" applyProtection="1">
      <alignment horizontal="centerContinuous"/>
    </xf>
    <xf numFmtId="0" fontId="39" fillId="0" borderId="11" xfId="0" applyFont="1" applyBorder="1" applyAlignment="1" applyProtection="1">
      <alignment horizontal="left"/>
    </xf>
    <xf numFmtId="0" fontId="53" fillId="0" borderId="0" xfId="0" quotePrefix="1" applyFont="1" applyAlignment="1" applyProtection="1">
      <alignment horizontal="left"/>
    </xf>
    <xf numFmtId="0" fontId="39" fillId="0" borderId="0" xfId="0" applyFont="1" applyBorder="1" applyAlignment="1" applyProtection="1">
      <alignment horizontal="center"/>
    </xf>
    <xf numFmtId="0" fontId="65" fillId="0" borderId="11" xfId="0" quotePrefix="1" applyFont="1" applyBorder="1" applyAlignment="1" applyProtection="1">
      <alignment horizontal="centerContinuous"/>
    </xf>
    <xf numFmtId="0" fontId="65" fillId="0" borderId="0" xfId="0" quotePrefix="1" applyFont="1" applyBorder="1" applyAlignment="1" applyProtection="1">
      <alignment horizontal="centerContinuous"/>
    </xf>
    <xf numFmtId="0" fontId="65" fillId="0" borderId="11" xfId="0" applyFont="1" applyBorder="1" applyAlignment="1" applyProtection="1">
      <alignment horizontal="centerContinuous"/>
    </xf>
    <xf numFmtId="0" fontId="71" fillId="0" borderId="0" xfId="0" applyFont="1" applyFill="1" applyProtection="1"/>
    <xf numFmtId="0" fontId="65" fillId="0" borderId="0" xfId="0" applyFont="1" applyAlignment="1" applyProtection="1">
      <alignment horizontal="center" wrapText="1"/>
    </xf>
    <xf numFmtId="0" fontId="65" fillId="0" borderId="0" xfId="0" applyFont="1" applyAlignment="1" applyProtection="1">
      <alignment horizontal="center"/>
    </xf>
    <xf numFmtId="0" fontId="65" fillId="0" borderId="0" xfId="0" applyFont="1" applyBorder="1" applyAlignment="1" applyProtection="1">
      <alignment horizontal="center" wrapText="1"/>
    </xf>
    <xf numFmtId="0" fontId="65" fillId="0" borderId="0" xfId="0" quotePrefix="1" applyFont="1" applyBorder="1" applyAlignment="1" applyProtection="1">
      <alignment horizontal="center" wrapText="1"/>
    </xf>
    <xf numFmtId="0" fontId="65" fillId="0" borderId="0" xfId="0" applyFont="1" applyBorder="1" applyAlignment="1" applyProtection="1">
      <alignment horizontal="center"/>
    </xf>
    <xf numFmtId="0" fontId="65" fillId="0" borderId="0" xfId="0" quotePrefix="1" applyFont="1" applyFill="1" applyBorder="1" applyAlignment="1" applyProtection="1">
      <alignment horizontal="center" wrapText="1"/>
    </xf>
    <xf numFmtId="0" fontId="65" fillId="0" borderId="0" xfId="0" applyFont="1" applyFill="1" applyBorder="1" applyAlignment="1" applyProtection="1">
      <alignment horizontal="center" wrapText="1"/>
    </xf>
    <xf numFmtId="0" fontId="65" fillId="0" borderId="0" xfId="0" applyFont="1" applyFill="1" applyBorder="1" applyAlignment="1" applyProtection="1">
      <alignment horizontal="center"/>
    </xf>
    <xf numFmtId="0" fontId="0" fillId="0" borderId="41" xfId="0" applyBorder="1" applyAlignment="1" applyProtection="1">
      <alignment horizontal="center" wrapText="1"/>
    </xf>
    <xf numFmtId="0" fontId="39" fillId="0" borderId="0" xfId="0" applyFont="1" applyProtection="1"/>
    <xf numFmtId="0" fontId="0" fillId="0" borderId="25" xfId="0" applyBorder="1" applyProtection="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69" fontId="1" fillId="0" borderId="0" xfId="86" applyNumberFormat="1" applyFont="1" applyFill="1" applyAlignment="1" applyProtection="1">
      <alignment vertical="center"/>
    </xf>
    <xf numFmtId="169" fontId="1" fillId="0" borderId="0" xfId="86" applyNumberFormat="1" applyFill="1" applyAlignment="1" applyProtection="1">
      <alignment vertical="center"/>
    </xf>
    <xf numFmtId="0" fontId="0" fillId="0" borderId="0" xfId="0" applyFill="1" applyAlignment="1" applyProtection="1">
      <alignment vertical="center"/>
    </xf>
    <xf numFmtId="169" fontId="101" fillId="0" borderId="0" xfId="86" applyNumberFormat="1" applyFont="1" applyFill="1" applyAlignment="1" applyProtection="1">
      <alignment vertical="center"/>
    </xf>
    <xf numFmtId="169" fontId="64" fillId="26" borderId="0" xfId="86" applyNumberFormat="1" applyFont="1" applyFill="1" applyAlignment="1" applyProtection="1">
      <alignment vertical="center"/>
    </xf>
    <xf numFmtId="169" fontId="1" fillId="0" borderId="0" xfId="86" applyNumberFormat="1" applyAlignment="1" applyProtection="1">
      <alignment vertical="center"/>
    </xf>
    <xf numFmtId="169" fontId="39" fillId="0" borderId="0" xfId="86" applyNumberFormat="1" applyFont="1" applyAlignment="1" applyProtection="1">
      <alignment horizontal="center" vertical="center"/>
    </xf>
    <xf numFmtId="169" fontId="0" fillId="0" borderId="25" xfId="0" applyNumberFormat="1" applyBorder="1" applyProtection="1"/>
    <xf numFmtId="169" fontId="39" fillId="0" borderId="0" xfId="86" applyNumberFormat="1" applyFont="1" applyAlignment="1" applyProtection="1">
      <alignment vertical="center"/>
    </xf>
    <xf numFmtId="169" fontId="1" fillId="0" borderId="0" xfId="86" applyNumberFormat="1" applyFont="1" applyFill="1" applyBorder="1" applyAlignment="1" applyProtection="1">
      <alignment vertical="center"/>
    </xf>
    <xf numFmtId="169" fontId="1" fillId="0" borderId="0" xfId="86" applyNumberFormat="1" applyFill="1" applyBorder="1" applyAlignment="1" applyProtection="1">
      <alignment vertical="center"/>
    </xf>
    <xf numFmtId="0" fontId="0" fillId="0" borderId="0" xfId="0" applyFill="1" applyBorder="1" applyAlignment="1" applyProtection="1">
      <alignment vertical="center"/>
    </xf>
    <xf numFmtId="169" fontId="64" fillId="26" borderId="0" xfId="86" applyNumberFormat="1" applyFont="1" applyFill="1" applyBorder="1" applyAlignment="1" applyProtection="1">
      <alignment vertical="center"/>
    </xf>
    <xf numFmtId="169" fontId="1" fillId="0" borderId="0" xfId="86" applyNumberFormat="1" applyBorder="1" applyAlignment="1" applyProtection="1">
      <alignment vertical="center"/>
    </xf>
    <xf numFmtId="169" fontId="39" fillId="0" borderId="0" xfId="86" applyNumberFormat="1" applyFont="1" applyBorder="1" applyAlignment="1" applyProtection="1">
      <alignment vertical="center"/>
    </xf>
    <xf numFmtId="0" fontId="7" fillId="0" borderId="0" xfId="0" quotePrefix="1" applyFont="1" applyAlignment="1" applyProtection="1">
      <alignment horizontal="center" vertical="center"/>
    </xf>
    <xf numFmtId="169" fontId="1" fillId="0" borderId="0" xfId="86" applyNumberFormat="1" applyFont="1" applyBorder="1" applyAlignment="1" applyProtection="1">
      <alignment vertical="center"/>
    </xf>
    <xf numFmtId="0" fontId="39" fillId="0" borderId="2" xfId="0" applyFont="1" applyBorder="1" applyAlignment="1" applyProtection="1">
      <alignment horizontal="center" vertical="center"/>
    </xf>
    <xf numFmtId="0" fontId="0" fillId="0" borderId="2" xfId="0" applyBorder="1" applyAlignment="1" applyProtection="1">
      <alignment horizontal="center" vertical="center"/>
    </xf>
    <xf numFmtId="169" fontId="1" fillId="0" borderId="2" xfId="86" applyNumberFormat="1" applyBorder="1" applyAlignment="1" applyProtection="1">
      <alignment vertical="center"/>
    </xf>
    <xf numFmtId="169" fontId="64" fillId="26" borderId="2" xfId="86" applyNumberFormat="1" applyFont="1" applyFill="1" applyBorder="1" applyAlignment="1" applyProtection="1">
      <alignment vertical="center"/>
    </xf>
    <xf numFmtId="169" fontId="39" fillId="0" borderId="25" xfId="0" applyNumberFormat="1" applyFont="1" applyBorder="1" applyProtection="1"/>
    <xf numFmtId="0" fontId="64" fillId="0" borderId="0" xfId="0" quotePrefix="1" applyFont="1" applyAlignment="1" applyProtection="1">
      <alignment horizontal="left"/>
    </xf>
    <xf numFmtId="0" fontId="7" fillId="0" borderId="0" xfId="0" applyFont="1" applyAlignment="1" applyProtection="1">
      <alignment vertical="center"/>
    </xf>
    <xf numFmtId="169" fontId="72" fillId="0" borderId="0" xfId="86" applyNumberFormat="1" applyFont="1" applyAlignment="1" applyProtection="1">
      <alignment horizontal="center" vertical="center"/>
    </xf>
    <xf numFmtId="43" fontId="53" fillId="0" borderId="0" xfId="86" applyFont="1" applyAlignment="1" applyProtection="1">
      <alignment horizontal="center" vertical="center"/>
    </xf>
    <xf numFmtId="43" fontId="74" fillId="0" borderId="0" xfId="86" applyFont="1" applyAlignment="1" applyProtection="1">
      <alignment horizontal="left" vertical="center"/>
    </xf>
    <xf numFmtId="169" fontId="74" fillId="0" borderId="0" xfId="86" applyNumberFormat="1" applyFont="1" applyAlignment="1" applyProtection="1">
      <alignment horizontal="center" vertical="center"/>
    </xf>
    <xf numFmtId="43" fontId="1" fillId="0" borderId="0" xfId="86" applyAlignment="1" applyProtection="1">
      <alignment vertical="center"/>
    </xf>
    <xf numFmtId="169" fontId="0" fillId="0" borderId="26" xfId="0" applyNumberFormat="1" applyBorder="1" applyProtection="1"/>
    <xf numFmtId="0" fontId="7" fillId="0" borderId="0" xfId="0" quotePrefix="1" applyFont="1" applyAlignment="1" applyProtection="1">
      <alignment horizontal="left" vertical="center"/>
    </xf>
    <xf numFmtId="174" fontId="5" fillId="0" borderId="0" xfId="0" applyNumberFormat="1" applyFont="1" applyAlignment="1" applyProtection="1">
      <alignment horizontal="center" vertical="center"/>
    </xf>
    <xf numFmtId="0" fontId="0" fillId="0" borderId="0" xfId="0" quotePrefix="1" applyAlignment="1" applyProtection="1">
      <alignment horizontal="left" vertical="center"/>
    </xf>
    <xf numFmtId="169" fontId="64" fillId="26" borderId="0" xfId="0" applyNumberFormat="1" applyFont="1" applyFill="1" applyAlignment="1" applyProtection="1">
      <alignment vertical="center"/>
    </xf>
    <xf numFmtId="169" fontId="1" fillId="0" borderId="0" xfId="86" applyNumberFormat="1" applyProtection="1"/>
    <xf numFmtId="164" fontId="1" fillId="0" borderId="0" xfId="0" applyNumberFormat="1" applyFont="1" applyFill="1" applyProtection="1"/>
    <xf numFmtId="43" fontId="1" fillId="0" borderId="0" xfId="86" applyProtection="1"/>
    <xf numFmtId="0" fontId="0" fillId="0" borderId="33" xfId="0" applyBorder="1" applyProtection="1"/>
    <xf numFmtId="0" fontId="0" fillId="0" borderId="2" xfId="0" applyBorder="1" applyProtection="1"/>
    <xf numFmtId="169" fontId="1" fillId="0" borderId="2" xfId="86" applyNumberFormat="1" applyBorder="1" applyProtection="1"/>
    <xf numFmtId="0" fontId="0" fillId="0" borderId="27" xfId="0" applyBorder="1" applyProtection="1"/>
    <xf numFmtId="0" fontId="0" fillId="0" borderId="34" xfId="0" applyBorder="1" applyProtection="1"/>
    <xf numFmtId="0" fontId="0" fillId="0" borderId="0" xfId="0" applyBorder="1" applyProtection="1"/>
    <xf numFmtId="0" fontId="0" fillId="0" borderId="0" xfId="0" applyBorder="1" applyAlignment="1" applyProtection="1">
      <alignment horizontal="center"/>
    </xf>
    <xf numFmtId="49" fontId="70" fillId="0" borderId="0" xfId="191" applyNumberFormat="1"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Protection="1"/>
    <xf numFmtId="0" fontId="0" fillId="0" borderId="11" xfId="0" applyBorder="1" applyProtection="1"/>
    <xf numFmtId="169" fontId="1" fillId="0" borderId="11" xfId="86" applyNumberFormat="1" applyBorder="1" applyProtection="1"/>
    <xf numFmtId="0" fontId="0" fillId="0" borderId="37" xfId="0" applyBorder="1" applyProtection="1"/>
    <xf numFmtId="0" fontId="0" fillId="0" borderId="0" xfId="0" quotePrefix="1" applyAlignment="1" applyProtection="1">
      <alignment horizontal="center"/>
    </xf>
    <xf numFmtId="43" fontId="0" fillId="0" borderId="0" xfId="86" applyFont="1" applyProtection="1"/>
    <xf numFmtId="43" fontId="0" fillId="0" borderId="0" xfId="0" applyNumberFormat="1" applyProtection="1"/>
    <xf numFmtId="43" fontId="0" fillId="0" borderId="0" xfId="196" applyNumberFormat="1" applyFont="1" applyProtection="1"/>
    <xf numFmtId="0" fontId="39" fillId="0" borderId="0" xfId="0" quotePrefix="1" applyFont="1" applyAlignment="1" applyProtection="1">
      <alignment horizontal="left"/>
    </xf>
    <xf numFmtId="0" fontId="47" fillId="0" borderId="0" xfId="0" applyFont="1" applyFill="1" applyProtection="1"/>
    <xf numFmtId="170" fontId="0" fillId="0" borderId="0" xfId="106" applyNumberFormat="1" applyFont="1" applyProtection="1"/>
    <xf numFmtId="0" fontId="9" fillId="0" borderId="0" xfId="0" applyFont="1" applyAlignment="1" applyProtection="1">
      <alignment horizontal="left"/>
    </xf>
    <xf numFmtId="0" fontId="7" fillId="0" borderId="0" xfId="191" applyNumberFormat="1" applyFont="1" applyBorder="1" applyAlignment="1" applyProtection="1"/>
    <xf numFmtId="3" fontId="7" fillId="0" borderId="0" xfId="191" applyNumberFormat="1" applyFont="1" applyAlignment="1" applyProtection="1"/>
    <xf numFmtId="10" fontId="7" fillId="0" borderId="0" xfId="191" applyNumberFormat="1" applyFont="1" applyAlignment="1" applyProtection="1"/>
    <xf numFmtId="166" fontId="7" fillId="0" borderId="0" xfId="191" applyNumberFormat="1" applyFont="1" applyAlignment="1" applyProtection="1"/>
    <xf numFmtId="43" fontId="7" fillId="0" borderId="0" xfId="86" applyFont="1" applyAlignment="1" applyProtection="1"/>
    <xf numFmtId="168" fontId="7" fillId="0" borderId="0" xfId="191" applyFont="1" applyAlignment="1" applyProtection="1"/>
    <xf numFmtId="168" fontId="7" fillId="0" borderId="0" xfId="191" applyFont="1" applyBorder="1" applyAlignment="1" applyProtection="1"/>
    <xf numFmtId="0" fontId="7" fillId="0" borderId="0" xfId="0" applyFont="1" applyProtection="1"/>
    <xf numFmtId="0" fontId="7" fillId="0" borderId="0" xfId="0" applyFont="1" applyFill="1" applyProtection="1"/>
    <xf numFmtId="0" fontId="7" fillId="26" borderId="0" xfId="86" applyNumberFormat="1" applyFont="1" applyFill="1" applyAlignment="1" applyProtection="1"/>
    <xf numFmtId="10" fontId="7" fillId="0" borderId="0" xfId="191" applyNumberFormat="1" applyFont="1" applyFill="1" applyAlignment="1" applyProtection="1">
      <alignment horizontal="right"/>
    </xf>
    <xf numFmtId="3" fontId="39" fillId="0" borderId="0" xfId="191" applyNumberFormat="1" applyFont="1" applyAlignment="1" applyProtection="1"/>
    <xf numFmtId="0" fontId="7" fillId="0" borderId="0" xfId="0" applyFont="1" applyFill="1" applyBorder="1" applyProtection="1"/>
    <xf numFmtId="3" fontId="48" fillId="0" borderId="0" xfId="191" applyNumberFormat="1" applyFont="1" applyAlignment="1" applyProtection="1">
      <alignment horizontal="center"/>
    </xf>
    <xf numFmtId="10" fontId="48" fillId="0" borderId="0" xfId="191" applyNumberFormat="1" applyFont="1" applyFill="1" applyAlignment="1" applyProtection="1">
      <alignment horizontal="center"/>
    </xf>
    <xf numFmtId="0" fontId="7" fillId="0" borderId="0" xfId="191" applyNumberFormat="1" applyFont="1" applyFill="1" applyBorder="1" applyAlignment="1" applyProtection="1">
      <alignment horizontal="right"/>
    </xf>
    <xf numFmtId="10" fontId="0" fillId="0" borderId="0" xfId="0" applyNumberFormat="1" applyAlignment="1" applyProtection="1">
      <alignment horizontal="center"/>
    </xf>
    <xf numFmtId="10" fontId="7" fillId="0" borderId="0" xfId="196" applyNumberFormat="1" applyFont="1" applyAlignment="1" applyProtection="1">
      <alignment horizontal="center"/>
    </xf>
    <xf numFmtId="10" fontId="7" fillId="0" borderId="0" xfId="196" applyNumberFormat="1" applyFont="1" applyFill="1" applyAlignment="1" applyProtection="1"/>
    <xf numFmtId="165" fontId="7" fillId="0" borderId="0" xfId="191" applyNumberFormat="1" applyFont="1" applyAlignment="1" applyProtection="1">
      <alignment horizontal="center"/>
    </xf>
    <xf numFmtId="165" fontId="7" fillId="0" borderId="0" xfId="191" applyNumberFormat="1" applyFont="1" applyBorder="1" applyAlignment="1" applyProtection="1">
      <alignment horizontal="center"/>
    </xf>
    <xf numFmtId="168" fontId="7" fillId="0" borderId="13" xfId="191" applyFont="1" applyBorder="1" applyAlignment="1" applyProtection="1"/>
    <xf numFmtId="0" fontId="7" fillId="0" borderId="0" xfId="191" applyNumberFormat="1" applyFont="1" applyBorder="1" applyAlignment="1" applyProtection="1">
      <alignment horizontal="center"/>
    </xf>
    <xf numFmtId="3" fontId="7" fillId="0" borderId="14" xfId="191" applyNumberFormat="1" applyFont="1" applyBorder="1" applyAlignment="1" applyProtection="1"/>
    <xf numFmtId="41" fontId="7" fillId="0" borderId="0" xfId="191" applyNumberFormat="1" applyFont="1" applyAlignment="1" applyProtection="1"/>
    <xf numFmtId="41" fontId="7" fillId="0" borderId="0" xfId="191" applyNumberFormat="1" applyFont="1" applyAlignment="1" applyProtection="1">
      <alignment horizontal="center"/>
    </xf>
    <xf numFmtId="41" fontId="7" fillId="0" borderId="0" xfId="191" applyNumberFormat="1" applyFont="1" applyBorder="1" applyAlignment="1" applyProtection="1">
      <alignment horizontal="center"/>
    </xf>
    <xf numFmtId="0" fontId="0" fillId="0" borderId="13" xfId="0" applyBorder="1" applyProtection="1"/>
    <xf numFmtId="0" fontId="0" fillId="0" borderId="14" xfId="0" applyBorder="1" applyProtection="1"/>
    <xf numFmtId="0" fontId="7" fillId="0" borderId="0" xfId="191" applyNumberFormat="1" applyFont="1" applyBorder="1" applyAlignment="1" applyProtection="1">
      <alignment horizontal="right"/>
    </xf>
    <xf numFmtId="10" fontId="48" fillId="0" borderId="0" xfId="196" applyNumberFormat="1" applyFont="1" applyFill="1" applyAlignment="1" applyProtection="1"/>
    <xf numFmtId="165" fontId="15" fillId="0" borderId="15" xfId="191" applyNumberFormat="1" applyFont="1" applyBorder="1" applyAlignment="1" applyProtection="1">
      <alignment horizontal="center"/>
    </xf>
    <xf numFmtId="0" fontId="7" fillId="27" borderId="6" xfId="191" applyNumberFormat="1" applyFont="1" applyFill="1" applyBorder="1" applyAlignment="1" applyProtection="1">
      <alignment horizontal="center"/>
    </xf>
    <xf numFmtId="169" fontId="7" fillId="0" borderId="6" xfId="191" applyNumberFormat="1" applyFont="1" applyBorder="1" applyAlignment="1" applyProtection="1">
      <alignment horizontal="center"/>
    </xf>
    <xf numFmtId="170" fontId="0" fillId="0" borderId="16" xfId="0" applyNumberFormat="1" applyBorder="1" applyProtection="1"/>
    <xf numFmtId="10" fontId="7" fillId="0" borderId="0" xfId="196" applyNumberFormat="1" applyFont="1" applyAlignment="1" applyProtection="1">
      <alignment horizontal="right"/>
    </xf>
    <xf numFmtId="0" fontId="63" fillId="0" borderId="0" xfId="0" applyFont="1" applyAlignment="1" applyProtection="1">
      <alignment horizontal="center"/>
    </xf>
    <xf numFmtId="10" fontId="7" fillId="0" borderId="0" xfId="191" applyNumberFormat="1" applyFont="1" applyFill="1" applyAlignment="1" applyProtection="1">
      <alignment horizontal="left"/>
    </xf>
    <xf numFmtId="41" fontId="7" fillId="0" borderId="0" xfId="191" applyNumberFormat="1" applyFont="1" applyBorder="1" applyAlignment="1" applyProtection="1"/>
    <xf numFmtId="41" fontId="7" fillId="0" borderId="0" xfId="191" applyNumberFormat="1" applyFont="1" applyFill="1" applyAlignment="1" applyProtection="1"/>
    <xf numFmtId="0" fontId="7" fillId="0" borderId="0" xfId="191" applyNumberFormat="1" applyFont="1" applyAlignment="1" applyProtection="1">
      <alignment horizontal="center"/>
    </xf>
    <xf numFmtId="169" fontId="0" fillId="0" borderId="0" xfId="0" applyNumberFormat="1" applyProtection="1"/>
    <xf numFmtId="0" fontId="7" fillId="0" borderId="0" xfId="0" applyFont="1" applyBorder="1" applyProtection="1"/>
    <xf numFmtId="41" fontId="7" fillId="0" borderId="0" xfId="191" quotePrefix="1" applyNumberFormat="1" applyFont="1" applyBorder="1" applyAlignment="1" applyProtection="1"/>
    <xf numFmtId="41" fontId="7" fillId="0" borderId="0" xfId="191" applyNumberFormat="1" applyFont="1" applyFill="1" applyBorder="1" applyAlignment="1" applyProtection="1">
      <alignment horizontal="right"/>
    </xf>
    <xf numFmtId="171" fontId="7" fillId="0" borderId="11" xfId="191" applyNumberFormat="1" applyFont="1" applyBorder="1" applyAlignment="1" applyProtection="1"/>
    <xf numFmtId="43" fontId="7" fillId="0" borderId="0" xfId="191" applyNumberFormat="1" applyFont="1" applyBorder="1" applyAlignment="1" applyProtection="1"/>
    <xf numFmtId="164" fontId="7" fillId="0" borderId="0" xfId="191" applyNumberFormat="1" applyFont="1" applyFill="1" applyBorder="1" applyAlignment="1" applyProtection="1">
      <alignment horizontal="left"/>
    </xf>
    <xf numFmtId="164" fontId="7" fillId="0" borderId="0" xfId="191" applyNumberFormat="1" applyFont="1" applyBorder="1" applyAlignment="1" applyProtection="1">
      <alignment horizontal="left"/>
    </xf>
    <xf numFmtId="3" fontId="7" fillId="0" borderId="0" xfId="191" applyNumberFormat="1" applyFont="1" applyAlignment="1" applyProtection="1">
      <alignment vertical="center" wrapText="1"/>
    </xf>
    <xf numFmtId="41" fontId="7" fillId="0" borderId="0" xfId="191" applyNumberFormat="1" applyFont="1" applyBorder="1" applyAlignment="1" applyProtection="1">
      <alignment vertical="center"/>
    </xf>
    <xf numFmtId="41" fontId="7" fillId="0" borderId="0" xfId="191" applyNumberFormat="1" applyFont="1" applyBorder="1" applyAlignment="1" applyProtection="1">
      <alignment horizontal="center" vertical="center"/>
    </xf>
    <xf numFmtId="0" fontId="39" fillId="0" borderId="0" xfId="0" applyFont="1" applyFill="1" applyBorder="1" applyProtection="1"/>
    <xf numFmtId="3" fontId="7" fillId="0" borderId="0" xfId="191" applyNumberFormat="1" applyFont="1" applyAlignment="1" applyProtection="1">
      <alignment horizontal="right"/>
    </xf>
    <xf numFmtId="41" fontId="7" fillId="0" borderId="0" xfId="191" applyNumberFormat="1" applyFont="1" applyAlignment="1" applyProtection="1">
      <alignment horizontal="right"/>
    </xf>
    <xf numFmtId="10" fontId="7" fillId="0" borderId="0" xfId="0" applyNumberFormat="1" applyFont="1" applyBorder="1" applyProtection="1"/>
    <xf numFmtId="0" fontId="7" fillId="0" borderId="0" xfId="0" applyFont="1" applyAlignment="1" applyProtection="1">
      <alignment horizontal="center"/>
    </xf>
    <xf numFmtId="10" fontId="7" fillId="0" borderId="0" xfId="191" applyNumberFormat="1" applyFont="1" applyFill="1" applyBorder="1" applyAlignment="1" applyProtection="1">
      <alignment horizontal="right"/>
    </xf>
    <xf numFmtId="169" fontId="7" fillId="0" borderId="0" xfId="86" applyNumberFormat="1" applyFont="1" applyBorder="1" applyProtection="1"/>
    <xf numFmtId="164" fontId="7" fillId="0" borderId="2" xfId="191" applyNumberFormat="1" applyFont="1" applyFill="1" applyBorder="1" applyAlignment="1" applyProtection="1">
      <alignment horizontal="left"/>
    </xf>
    <xf numFmtId="0" fontId="7" fillId="0" borderId="2" xfId="0" applyFont="1" applyFill="1" applyBorder="1" applyAlignment="1" applyProtection="1">
      <alignment horizontal="center"/>
    </xf>
    <xf numFmtId="41" fontId="7" fillId="0" borderId="2" xfId="0" applyNumberFormat="1" applyFont="1" applyBorder="1" applyProtection="1"/>
    <xf numFmtId="41" fontId="7" fillId="0" borderId="0" xfId="0" applyNumberFormat="1" applyFont="1" applyBorder="1" applyProtection="1"/>
    <xf numFmtId="0" fontId="7" fillId="0" borderId="0" xfId="0" applyFont="1" applyFill="1" applyBorder="1" applyAlignment="1" applyProtection="1"/>
    <xf numFmtId="3" fontId="14" fillId="0" borderId="0" xfId="191" applyNumberFormat="1" applyFont="1" applyFill="1" applyBorder="1" applyAlignment="1" applyProtection="1"/>
    <xf numFmtId="41" fontId="7" fillId="0" borderId="0" xfId="191" applyNumberFormat="1" applyFont="1" applyFill="1" applyBorder="1" applyAlignment="1" applyProtection="1"/>
    <xf numFmtId="3" fontId="14" fillId="0" borderId="0" xfId="191" applyNumberFormat="1" applyFont="1" applyFill="1" applyBorder="1" applyAlignment="1" applyProtection="1">
      <alignment horizontal="center"/>
    </xf>
    <xf numFmtId="41" fontId="14" fillId="0" borderId="0" xfId="191" applyNumberFormat="1" applyFont="1" applyFill="1" applyBorder="1" applyAlignment="1" applyProtection="1"/>
    <xf numFmtId="0" fontId="14" fillId="0" borderId="0" xfId="191" applyNumberFormat="1" applyFont="1" applyFill="1" applyBorder="1" applyAlignment="1" applyProtection="1"/>
    <xf numFmtId="0" fontId="6" fillId="0" borderId="0" xfId="0" applyFont="1" applyFill="1" applyProtection="1"/>
    <xf numFmtId="0" fontId="9" fillId="0" borderId="0" xfId="0" applyFont="1" applyFill="1" applyAlignment="1" applyProtection="1">
      <alignment horizontal="left"/>
    </xf>
    <xf numFmtId="3" fontId="7" fillId="0" borderId="0" xfId="191" applyNumberFormat="1" applyFont="1" applyFill="1" applyBorder="1" applyAlignment="1" applyProtection="1"/>
    <xf numFmtId="41" fontId="7" fillId="0" borderId="0" xfId="191" applyNumberFormat="1" applyFont="1" applyFill="1" applyBorder="1" applyAlignment="1" applyProtection="1">
      <alignment horizontal="center"/>
    </xf>
    <xf numFmtId="0" fontId="7" fillId="0" borderId="0" xfId="191" applyNumberFormat="1" applyFont="1" applyFill="1" applyBorder="1" applyProtection="1"/>
    <xf numFmtId="3" fontId="7" fillId="0" borderId="0" xfId="191" applyNumberFormat="1" applyFont="1" applyFill="1" applyBorder="1" applyAlignment="1" applyProtection="1">
      <alignment horizontal="center"/>
    </xf>
    <xf numFmtId="0" fontId="7" fillId="0" borderId="0" xfId="191" applyNumberFormat="1" applyFont="1" applyFill="1" applyBorder="1" applyAlignment="1" applyProtection="1"/>
    <xf numFmtId="41" fontId="7" fillId="0" borderId="11" xfId="191" applyNumberFormat="1" applyFont="1" applyFill="1" applyBorder="1" applyAlignment="1" applyProtection="1"/>
    <xf numFmtId="0" fontId="7" fillId="0" borderId="0" xfId="191" applyNumberFormat="1" applyFont="1" applyFill="1" applyBorder="1" applyAlignment="1" applyProtection="1">
      <alignment horizontal="center"/>
    </xf>
    <xf numFmtId="10" fontId="7" fillId="0" borderId="0" xfId="191" applyNumberFormat="1" applyFont="1" applyFill="1" applyBorder="1" applyAlignment="1" applyProtection="1"/>
    <xf numFmtId="167" fontId="7" fillId="0" borderId="0" xfId="191" applyNumberFormat="1" applyFont="1" applyFill="1" applyBorder="1" applyAlignment="1" applyProtection="1"/>
    <xf numFmtId="168" fontId="7" fillId="0" borderId="0" xfId="191" applyFont="1" applyFill="1" applyBorder="1" applyAlignment="1" applyProtection="1"/>
    <xf numFmtId="3" fontId="7" fillId="0" borderId="0" xfId="191" quotePrefix="1" applyNumberFormat="1" applyFont="1" applyFill="1" applyBorder="1" applyAlignment="1" applyProtection="1"/>
    <xf numFmtId="3" fontId="39" fillId="0" borderId="0" xfId="191" applyNumberFormat="1" applyFont="1" applyFill="1" applyBorder="1" applyAlignment="1" applyProtection="1">
      <alignment horizontal="right"/>
    </xf>
    <xf numFmtId="167" fontId="39" fillId="0" borderId="0" xfId="191" applyNumberFormat="1" applyFont="1" applyFill="1" applyBorder="1" applyAlignment="1" applyProtection="1"/>
    <xf numFmtId="3" fontId="39" fillId="0" borderId="0" xfId="191" quotePrefix="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169" fontId="7" fillId="0" borderId="0" xfId="86" applyNumberFormat="1" applyFont="1" applyFill="1" applyBorder="1" applyProtection="1"/>
    <xf numFmtId="41" fontId="48" fillId="0" borderId="0" xfId="191" applyNumberFormat="1" applyFont="1" applyFill="1" applyBorder="1" applyAlignment="1" applyProtection="1"/>
    <xf numFmtId="169" fontId="7" fillId="0" borderId="0" xfId="86" applyNumberFormat="1" applyFont="1" applyProtection="1"/>
    <xf numFmtId="41" fontId="7" fillId="0" borderId="0" xfId="0" applyNumberFormat="1" applyFont="1" applyProtection="1"/>
    <xf numFmtId="0" fontId="0" fillId="0" borderId="0" xfId="0" applyAlignment="1" applyProtection="1"/>
    <xf numFmtId="41" fontId="7" fillId="0" borderId="11" xfId="0" applyNumberFormat="1" applyFont="1" applyFill="1" applyBorder="1" applyProtection="1"/>
    <xf numFmtId="41" fontId="48" fillId="0" borderId="0" xfId="0" applyNumberFormat="1" applyFont="1" applyProtection="1"/>
    <xf numFmtId="0" fontId="0" fillId="0" borderId="0" xfId="0" applyFill="1" applyAlignment="1" applyProtection="1"/>
    <xf numFmtId="41" fontId="7" fillId="0" borderId="0" xfId="0" applyNumberFormat="1" applyFont="1" applyFill="1" applyProtection="1"/>
    <xf numFmtId="169" fontId="7" fillId="0" borderId="0" xfId="86" applyNumberFormat="1" applyFont="1" applyFill="1" applyProtection="1"/>
    <xf numFmtId="0" fontId="7" fillId="0" borderId="0" xfId="0" applyFont="1" applyFill="1" applyAlignment="1" applyProtection="1">
      <alignment horizontal="center"/>
    </xf>
    <xf numFmtId="10" fontId="7" fillId="0" borderId="11" xfId="0" applyNumberFormat="1" applyFont="1" applyFill="1" applyBorder="1" applyProtection="1"/>
    <xf numFmtId="9" fontId="7" fillId="0" borderId="11" xfId="196" applyFont="1" applyFill="1" applyBorder="1" applyProtection="1"/>
    <xf numFmtId="169" fontId="7" fillId="0" borderId="11" xfId="86" applyNumberFormat="1" applyFont="1" applyFill="1" applyBorder="1" applyAlignment="1" applyProtection="1"/>
    <xf numFmtId="41" fontId="0" fillId="0" borderId="0" xfId="0" applyNumberFormat="1" applyProtection="1"/>
    <xf numFmtId="41" fontId="7" fillId="0" borderId="11" xfId="0" applyNumberFormat="1" applyFont="1" applyBorder="1" applyProtection="1"/>
    <xf numFmtId="10" fontId="7" fillId="0" borderId="0" xfId="0" applyNumberFormat="1" applyFont="1" applyProtection="1"/>
    <xf numFmtId="10" fontId="48" fillId="0" borderId="0" xfId="0" applyNumberFormat="1" applyFont="1" applyProtection="1"/>
    <xf numFmtId="169" fontId="7" fillId="0" borderId="11" xfId="86" applyNumberFormat="1" applyFont="1" applyFill="1" applyBorder="1" applyProtection="1"/>
    <xf numFmtId="169" fontId="7" fillId="0" borderId="0" xfId="87" applyNumberFormat="1" applyFont="1" applyFill="1" applyBorder="1" applyProtection="1"/>
    <xf numFmtId="173" fontId="7" fillId="0" borderId="0" xfId="0" applyNumberFormat="1" applyFont="1" applyProtection="1"/>
    <xf numFmtId="10" fontId="7" fillId="0" borderId="0" xfId="0" applyNumberFormat="1" applyFont="1" applyFill="1" applyProtection="1"/>
    <xf numFmtId="43" fontId="7" fillId="0" borderId="0" xfId="86" applyFont="1" applyProtection="1"/>
    <xf numFmtId="43" fontId="7" fillId="0" borderId="0" xfId="86" applyNumberFormat="1" applyFont="1" applyProtection="1"/>
    <xf numFmtId="169" fontId="7" fillId="0" borderId="0" xfId="0" applyNumberFormat="1" applyFont="1" applyProtection="1"/>
    <xf numFmtId="0" fontId="7" fillId="0" borderId="0" xfId="0" applyNumberFormat="1" applyFont="1" applyBorder="1" applyAlignment="1" applyProtection="1">
      <alignment horizontal="center"/>
    </xf>
    <xf numFmtId="169" fontId="7" fillId="0" borderId="0" xfId="0" applyNumberFormat="1" applyFont="1" applyBorder="1" applyProtection="1"/>
    <xf numFmtId="170" fontId="7" fillId="0" borderId="0" xfId="0" applyNumberFormat="1" applyFont="1" applyBorder="1" applyProtection="1"/>
    <xf numFmtId="0" fontId="65" fillId="0" borderId="0" xfId="0" quotePrefix="1" applyFont="1" applyAlignment="1" applyProtection="1">
      <alignment horizontal="left"/>
    </xf>
    <xf numFmtId="0" fontId="0" fillId="0" borderId="0" xfId="0" quotePrefix="1" applyAlignment="1" applyProtection="1">
      <alignment horizontal="left"/>
    </xf>
    <xf numFmtId="0" fontId="66" fillId="0" borderId="0" xfId="0" quotePrefix="1" applyFont="1" applyAlignment="1" applyProtection="1">
      <alignment horizontal="left"/>
    </xf>
    <xf numFmtId="0" fontId="7" fillId="0" borderId="17" xfId="0" quotePrefix="1" applyFont="1" applyFill="1" applyBorder="1" applyAlignment="1" applyProtection="1">
      <alignment horizontal="left"/>
    </xf>
    <xf numFmtId="0" fontId="0" fillId="0" borderId="48" xfId="0" quotePrefix="1" applyBorder="1" applyAlignment="1" applyProtection="1">
      <alignment horizontal="left"/>
    </xf>
    <xf numFmtId="0" fontId="54" fillId="0" borderId="39" xfId="0" quotePrefix="1" applyFont="1" applyFill="1" applyBorder="1" applyAlignment="1" applyProtection="1">
      <alignment horizontal="right"/>
    </xf>
    <xf numFmtId="0" fontId="83" fillId="0" borderId="14" xfId="0" applyFont="1" applyBorder="1" applyProtection="1"/>
    <xf numFmtId="10" fontId="1" fillId="0" borderId="0" xfId="0" applyNumberFormat="1" applyFont="1" applyFill="1" applyProtection="1"/>
    <xf numFmtId="169" fontId="54" fillId="0" borderId="39" xfId="86" applyNumberFormat="1" applyFont="1" applyFill="1" applyBorder="1" applyProtection="1"/>
    <xf numFmtId="179" fontId="54" fillId="0" borderId="39" xfId="196" applyNumberFormat="1" applyFont="1" applyFill="1" applyBorder="1" applyProtection="1"/>
    <xf numFmtId="0" fontId="83" fillId="0" borderId="49" xfId="0" applyFont="1" applyBorder="1" applyProtection="1"/>
    <xf numFmtId="0" fontId="83" fillId="0" borderId="47" xfId="0" applyFont="1" applyBorder="1" applyProtection="1"/>
    <xf numFmtId="41" fontId="54" fillId="0" borderId="39" xfId="0" applyNumberFormat="1" applyFont="1" applyFill="1" applyBorder="1" applyProtection="1"/>
    <xf numFmtId="3" fontId="54" fillId="0" borderId="43" xfId="0" applyNumberFormat="1" applyFont="1" applyBorder="1" applyProtection="1"/>
    <xf numFmtId="10" fontId="54" fillId="0" borderId="13" xfId="0" applyNumberFormat="1" applyFont="1" applyFill="1" applyBorder="1" applyProtection="1"/>
    <xf numFmtId="0" fontId="54" fillId="0" borderId="14" xfId="0" applyFont="1" applyBorder="1" applyProtection="1"/>
    <xf numFmtId="41" fontId="54" fillId="0" borderId="13" xfId="0" applyNumberFormat="1" applyFont="1" applyBorder="1" applyProtection="1"/>
    <xf numFmtId="10" fontId="54" fillId="0" borderId="13" xfId="0" applyNumberFormat="1" applyFont="1" applyBorder="1" applyProtection="1"/>
    <xf numFmtId="0" fontId="54" fillId="0" borderId="20" xfId="0" applyFont="1" applyBorder="1" applyProtection="1"/>
    <xf numFmtId="169" fontId="54" fillId="0" borderId="39" xfId="0" applyNumberFormat="1" applyFont="1" applyBorder="1" applyProtection="1"/>
    <xf numFmtId="169" fontId="54" fillId="0" borderId="45" xfId="0" applyNumberFormat="1" applyFont="1" applyBorder="1" applyProtection="1"/>
    <xf numFmtId="0" fontId="54" fillId="0" borderId="50" xfId="0" applyFont="1" applyBorder="1" applyProtection="1"/>
    <xf numFmtId="0" fontId="7" fillId="0" borderId="0" xfId="0" applyNumberFormat="1" applyFont="1" applyFill="1" applyAlignment="1" applyProtection="1">
      <alignment horizontal="center"/>
    </xf>
    <xf numFmtId="169" fontId="54" fillId="0" borderId="46" xfId="0" applyNumberFormat="1" applyFont="1" applyBorder="1" applyProtection="1"/>
    <xf numFmtId="0" fontId="54" fillId="0" borderId="16" xfId="0" applyFont="1" applyBorder="1" applyProtection="1"/>
    <xf numFmtId="0" fontId="5" fillId="0" borderId="0" xfId="0" applyFont="1" applyProtection="1"/>
    <xf numFmtId="169" fontId="54" fillId="0" borderId="24" xfId="0" applyNumberFormat="1" applyFont="1" applyBorder="1" applyProtection="1"/>
    <xf numFmtId="169" fontId="54" fillId="0" borderId="25" xfId="0" applyNumberFormat="1" applyFont="1" applyBorder="1" applyProtection="1"/>
    <xf numFmtId="43" fontId="54" fillId="0" borderId="26" xfId="86" applyFont="1" applyBorder="1" applyProtection="1"/>
    <xf numFmtId="0" fontId="50" fillId="0" borderId="0" xfId="0" applyFont="1" applyFill="1" applyProtection="1"/>
    <xf numFmtId="0" fontId="0" fillId="0" borderId="0" xfId="0" applyAlignment="1" applyProtection="1">
      <alignment wrapText="1"/>
    </xf>
    <xf numFmtId="0" fontId="7" fillId="0" borderId="0" xfId="86" applyNumberFormat="1" applyFont="1" applyFill="1" applyAlignment="1" applyProtection="1"/>
    <xf numFmtId="168" fontId="15" fillId="0" borderId="17" xfId="191" applyFont="1" applyBorder="1" applyAlignment="1" applyProtection="1"/>
    <xf numFmtId="168" fontId="7" fillId="0" borderId="18" xfId="191" applyFont="1" applyBorder="1" applyAlignment="1" applyProtection="1"/>
    <xf numFmtId="3" fontId="7" fillId="0" borderId="19" xfId="191" applyNumberFormat="1" applyFont="1" applyBorder="1" applyAlignment="1" applyProtection="1"/>
    <xf numFmtId="0" fontId="7" fillId="27" borderId="0" xfId="191" applyNumberFormat="1" applyFont="1" applyFill="1" applyBorder="1" applyAlignment="1" applyProtection="1">
      <alignment horizontal="center"/>
    </xf>
    <xf numFmtId="166" fontId="7" fillId="0" borderId="0" xfId="191" applyNumberFormat="1" applyFont="1" applyAlignment="1" applyProtection="1">
      <alignment horizontal="center"/>
    </xf>
    <xf numFmtId="167" fontId="7" fillId="0" borderId="0" xfId="191" applyNumberFormat="1" applyFont="1" applyAlignment="1" applyProtection="1"/>
    <xf numFmtId="0" fontId="7" fillId="0" borderId="0" xfId="0" quotePrefix="1" applyFont="1" applyBorder="1" applyAlignment="1" applyProtection="1">
      <alignment horizontal="right"/>
    </xf>
    <xf numFmtId="170" fontId="0" fillId="0" borderId="0" xfId="0" applyNumberFormat="1" applyBorder="1" applyProtection="1"/>
    <xf numFmtId="170" fontId="0" fillId="0" borderId="14" xfId="0" applyNumberFormat="1" applyBorder="1" applyProtection="1"/>
    <xf numFmtId="0" fontId="0" fillId="0" borderId="0" xfId="0" quotePrefix="1" applyBorder="1" applyAlignment="1" applyProtection="1">
      <alignment horizontal="right"/>
    </xf>
    <xf numFmtId="170" fontId="0" fillId="0" borderId="6" xfId="0" applyNumberFormat="1" applyBorder="1" applyProtection="1"/>
    <xf numFmtId="167" fontId="48" fillId="0" borderId="0" xfId="191" applyNumberFormat="1" applyFont="1" applyAlignment="1" applyProtection="1"/>
    <xf numFmtId="0" fontId="0" fillId="0" borderId="0" xfId="0" applyBorder="1" applyAlignment="1" applyProtection="1">
      <alignment horizontal="right"/>
    </xf>
    <xf numFmtId="169" fontId="0" fillId="0" borderId="0" xfId="0" applyNumberFormat="1" applyBorder="1" applyProtection="1"/>
    <xf numFmtId="172" fontId="7" fillId="0" borderId="0" xfId="191" applyNumberFormat="1" applyFont="1" applyAlignment="1" applyProtection="1"/>
    <xf numFmtId="165" fontId="7" fillId="0" borderId="15" xfId="191" applyNumberFormat="1" applyFont="1" applyBorder="1" applyAlignment="1" applyProtection="1">
      <alignment horizontal="center"/>
    </xf>
    <xf numFmtId="0" fontId="7" fillId="0" borderId="6" xfId="191" applyNumberFormat="1" applyFont="1" applyBorder="1" applyAlignment="1" applyProtection="1">
      <alignment horizontal="center"/>
    </xf>
    <xf numFmtId="169" fontId="7" fillId="0" borderId="6" xfId="191" quotePrefix="1" applyNumberFormat="1" applyFont="1" applyBorder="1" applyAlignment="1" applyProtection="1">
      <alignment horizontal="center"/>
    </xf>
    <xf numFmtId="177" fontId="7" fillId="0" borderId="6" xfId="191" quotePrefix="1" applyNumberFormat="1" applyFont="1" applyBorder="1" applyAlignment="1" applyProtection="1">
      <alignment horizontal="center"/>
    </xf>
    <xf numFmtId="169" fontId="1" fillId="0" borderId="6" xfId="191" applyNumberFormat="1" applyFont="1" applyFill="1" applyBorder="1" applyAlignment="1" applyProtection="1">
      <alignment horizontal="center"/>
    </xf>
    <xf numFmtId="178" fontId="7" fillId="0" borderId="0" xfId="191" applyNumberFormat="1" applyFont="1" applyBorder="1" applyAlignment="1" applyProtection="1">
      <alignment horizontal="center"/>
    </xf>
    <xf numFmtId="169" fontId="7" fillId="0" borderId="0" xfId="191" applyNumberFormat="1" applyFont="1" applyBorder="1" applyAlignment="1" applyProtection="1">
      <alignment horizontal="center"/>
    </xf>
    <xf numFmtId="164" fontId="7" fillId="0" borderId="2" xfId="191" applyNumberFormat="1" applyFont="1" applyBorder="1" applyAlignment="1" applyProtection="1">
      <alignment horizontal="left"/>
    </xf>
    <xf numFmtId="0" fontId="7" fillId="0" borderId="2" xfId="0" applyFont="1" applyBorder="1" applyAlignment="1" applyProtection="1">
      <alignment horizontal="center"/>
    </xf>
    <xf numFmtId="0" fontId="1" fillId="0" borderId="0" xfId="191" applyNumberFormat="1" applyFont="1" applyFill="1" applyBorder="1" applyAlignment="1" applyProtection="1"/>
    <xf numFmtId="0" fontId="7" fillId="0" borderId="0" xfId="0" applyFont="1" applyBorder="1" applyAlignment="1" applyProtection="1">
      <alignment horizontal="center"/>
    </xf>
    <xf numFmtId="41" fontId="1" fillId="0" borderId="0" xfId="191" applyNumberFormat="1" applyFont="1" applyFill="1" applyBorder="1" applyAlignment="1" applyProtection="1"/>
    <xf numFmtId="3" fontId="14" fillId="0" borderId="2" xfId="191" applyNumberFormat="1" applyFont="1" applyFill="1" applyBorder="1" applyAlignment="1" applyProtection="1"/>
    <xf numFmtId="41" fontId="7" fillId="0" borderId="2" xfId="191" applyNumberFormat="1" applyFont="1" applyFill="1" applyBorder="1" applyAlignment="1" applyProtection="1"/>
    <xf numFmtId="41" fontId="48" fillId="0" borderId="11" xfId="191" applyNumberFormat="1" applyFont="1" applyFill="1" applyBorder="1" applyAlignment="1" applyProtection="1"/>
    <xf numFmtId="10" fontId="7" fillId="0" borderId="0" xfId="0" applyNumberFormat="1" applyFont="1" applyFill="1" applyBorder="1" applyProtection="1"/>
    <xf numFmtId="9" fontId="7" fillId="0" borderId="0" xfId="196" applyFont="1" applyFill="1" applyBorder="1" applyProtection="1"/>
    <xf numFmtId="169" fontId="7" fillId="0" borderId="0" xfId="86" applyNumberFormat="1" applyFont="1" applyFill="1" applyBorder="1" applyAlignment="1" applyProtection="1"/>
    <xf numFmtId="41" fontId="56" fillId="0" borderId="0" xfId="0" applyNumberFormat="1" applyFont="1" applyProtection="1"/>
    <xf numFmtId="10" fontId="0" fillId="0" borderId="0" xfId="0" applyNumberFormat="1" applyProtection="1"/>
    <xf numFmtId="164" fontId="1" fillId="0" borderId="0" xfId="196" applyNumberFormat="1" applyProtection="1"/>
    <xf numFmtId="169" fontId="7" fillId="0" borderId="0" xfId="87" applyNumberFormat="1" applyFont="1" applyFill="1" applyProtection="1"/>
    <xf numFmtId="169" fontId="7" fillId="0" borderId="11" xfId="87" applyNumberFormat="1" applyFont="1" applyFill="1" applyBorder="1" applyProtection="1"/>
    <xf numFmtId="0" fontId="7" fillId="0" borderId="38" xfId="0" quotePrefix="1" applyFont="1" applyFill="1" applyBorder="1" applyAlignment="1" applyProtection="1">
      <alignment horizontal="left"/>
    </xf>
    <xf numFmtId="0" fontId="7" fillId="0" borderId="19" xfId="0" applyFont="1" applyFill="1" applyBorder="1" applyProtection="1"/>
    <xf numFmtId="0" fontId="7" fillId="0" borderId="14" xfId="0" applyFont="1" applyFill="1" applyBorder="1" applyProtection="1"/>
    <xf numFmtId="10" fontId="54" fillId="0" borderId="39" xfId="0" applyNumberFormat="1" applyFont="1" applyFill="1" applyBorder="1" applyProtection="1"/>
    <xf numFmtId="169" fontId="54" fillId="0" borderId="39" xfId="87" applyNumberFormat="1" applyFont="1" applyFill="1" applyBorder="1" applyProtection="1"/>
    <xf numFmtId="0" fontId="7" fillId="0" borderId="49" xfId="0" applyFont="1" applyFill="1" applyBorder="1" applyProtection="1"/>
    <xf numFmtId="166" fontId="54" fillId="0" borderId="39" xfId="0" applyNumberFormat="1" applyFont="1" applyFill="1" applyBorder="1" applyProtection="1"/>
    <xf numFmtId="0" fontId="7" fillId="0" borderId="47" xfId="0" applyFont="1" applyFill="1" applyBorder="1" applyProtection="1"/>
    <xf numFmtId="41" fontId="54" fillId="0" borderId="13" xfId="0" applyNumberFormat="1" applyFont="1" applyFill="1" applyBorder="1" applyProtection="1"/>
    <xf numFmtId="3" fontId="7" fillId="0" borderId="43" xfId="0" applyNumberFormat="1" applyFont="1" applyFill="1" applyBorder="1" applyProtection="1"/>
    <xf numFmtId="0" fontId="7" fillId="0" borderId="20" xfId="0" applyFont="1" applyFill="1" applyBorder="1" applyProtection="1"/>
    <xf numFmtId="169" fontId="54" fillId="0" borderId="44" xfId="0" applyNumberFormat="1" applyFont="1" applyFill="1" applyBorder="1" applyProtection="1"/>
    <xf numFmtId="169" fontId="54" fillId="0" borderId="46" xfId="0" applyNumberFormat="1" applyFont="1" applyFill="1" applyBorder="1" applyProtection="1"/>
    <xf numFmtId="0" fontId="7" fillId="0" borderId="16" xfId="0" applyFont="1" applyFill="1" applyBorder="1" applyProtection="1"/>
    <xf numFmtId="169" fontId="54" fillId="0" borderId="25" xfId="86" applyNumberFormat="1" applyFont="1" applyBorder="1" applyProtection="1"/>
    <xf numFmtId="169" fontId="54" fillId="0" borderId="26" xfId="86" applyNumberFormat="1" applyFont="1" applyBorder="1" applyProtection="1"/>
    <xf numFmtId="0" fontId="50" fillId="0" borderId="0" xfId="0" quotePrefix="1" applyFont="1" applyAlignment="1" applyProtection="1">
      <alignment horizontal="left"/>
    </xf>
    <xf numFmtId="0" fontId="46" fillId="0" borderId="0" xfId="0" applyFont="1" applyAlignment="1" applyProtection="1">
      <alignment horizontal="right"/>
    </xf>
    <xf numFmtId="0" fontId="67" fillId="0" borderId="0" xfId="0" applyFont="1" applyFill="1" applyAlignment="1" applyProtection="1">
      <alignment horizontal="right"/>
    </xf>
    <xf numFmtId="0" fontId="50" fillId="0" borderId="0" xfId="0" applyFont="1" applyProtection="1"/>
    <xf numFmtId="0" fontId="46" fillId="0" borderId="0" xfId="0" quotePrefix="1" applyFont="1" applyAlignment="1" applyProtection="1">
      <alignment horizontal="right"/>
    </xf>
    <xf numFmtId="0" fontId="68" fillId="0" borderId="0" xfId="0" quotePrefix="1" applyFont="1" applyAlignment="1" applyProtection="1">
      <alignment horizontal="left"/>
    </xf>
    <xf numFmtId="0" fontId="39" fillId="0" borderId="0" xfId="0" applyFont="1" applyAlignment="1" applyProtection="1">
      <alignment horizontal="left"/>
    </xf>
    <xf numFmtId="0" fontId="51" fillId="26" borderId="0" xfId="86" applyNumberFormat="1" applyFont="1" applyFill="1" applyAlignment="1" applyProtection="1">
      <alignment horizontal="left"/>
    </xf>
    <xf numFmtId="0" fontId="39" fillId="0" borderId="17" xfId="0" applyFont="1" applyBorder="1" applyProtection="1"/>
    <xf numFmtId="0" fontId="39" fillId="0" borderId="18" xfId="0" applyFont="1" applyBorder="1" applyProtection="1"/>
    <xf numFmtId="0" fontId="7" fillId="0" borderId="18" xfId="0" applyFont="1" applyBorder="1" applyProtection="1"/>
    <xf numFmtId="169" fontId="39" fillId="0" borderId="19" xfId="86" applyNumberFormat="1" applyFont="1" applyBorder="1" applyProtection="1"/>
    <xf numFmtId="0" fontId="14" fillId="0" borderId="0" xfId="86" applyNumberFormat="1" applyFont="1" applyFill="1" applyAlignment="1" applyProtection="1">
      <alignment horizontal="left"/>
    </xf>
    <xf numFmtId="0" fontId="14" fillId="0" borderId="0" xfId="86" applyNumberFormat="1" applyFont="1" applyFill="1" applyBorder="1" applyAlignment="1" applyProtection="1">
      <alignment horizontal="left"/>
    </xf>
    <xf numFmtId="0" fontId="39" fillId="0" borderId="13" xfId="0" applyFont="1" applyBorder="1" applyProtection="1"/>
    <xf numFmtId="0" fontId="9" fillId="0" borderId="0" xfId="86" applyNumberFormat="1" applyFont="1" applyFill="1" applyBorder="1" applyAlignment="1" applyProtection="1">
      <alignment horizontal="left"/>
    </xf>
    <xf numFmtId="169" fontId="39" fillId="0" borderId="20" xfId="86" applyNumberFormat="1" applyFont="1" applyBorder="1" applyProtection="1"/>
    <xf numFmtId="0" fontId="39" fillId="0" borderId="0" xfId="0" applyFont="1" applyFill="1" applyProtection="1"/>
    <xf numFmtId="0" fontId="52" fillId="0" borderId="0" xfId="0" applyFont="1" applyFill="1" applyAlignment="1" applyProtection="1">
      <alignment horizontal="left"/>
    </xf>
    <xf numFmtId="169" fontId="39" fillId="0" borderId="15" xfId="86" applyNumberFormat="1" applyFont="1" applyBorder="1" applyProtection="1"/>
    <xf numFmtId="169" fontId="7" fillId="0" borderId="6" xfId="86" applyNumberFormat="1" applyFont="1" applyBorder="1" applyProtection="1"/>
    <xf numFmtId="169" fontId="7" fillId="0" borderId="16" xfId="86" applyNumberFormat="1" applyFont="1" applyBorder="1" applyProtection="1"/>
    <xf numFmtId="0" fontId="53" fillId="0" borderId="0" xfId="0" applyFont="1" applyFill="1" applyAlignment="1" applyProtection="1"/>
    <xf numFmtId="0" fontId="55" fillId="0" borderId="0" xfId="0" applyFont="1" applyFill="1" applyAlignment="1" applyProtection="1"/>
    <xf numFmtId="0" fontId="7" fillId="0" borderId="0" xfId="0" applyFont="1" applyFill="1" applyAlignment="1" applyProtection="1">
      <alignment wrapText="1"/>
    </xf>
    <xf numFmtId="0" fontId="7" fillId="0" borderId="0" xfId="0" applyFont="1" applyFill="1" applyBorder="1" applyAlignment="1" applyProtection="1">
      <alignment wrapText="1"/>
    </xf>
    <xf numFmtId="0" fontId="39" fillId="0" borderId="21" xfId="0" applyFont="1" applyFill="1" applyBorder="1" applyAlignment="1" applyProtection="1">
      <alignment horizontal="center"/>
    </xf>
    <xf numFmtId="0" fontId="61" fillId="27" borderId="22" xfId="0" applyFont="1" applyFill="1" applyBorder="1" applyAlignment="1" applyProtection="1">
      <alignment horizontal="center"/>
    </xf>
    <xf numFmtId="0" fontId="39" fillId="0" borderId="22" xfId="0" applyFont="1" applyFill="1" applyBorder="1" applyAlignment="1" applyProtection="1">
      <alignment horizontal="center"/>
    </xf>
    <xf numFmtId="0" fontId="39" fillId="0" borderId="23" xfId="0" applyFont="1" applyFill="1" applyBorder="1" applyAlignment="1" applyProtection="1">
      <alignment horizontal="center"/>
    </xf>
    <xf numFmtId="0" fontId="39" fillId="0" borderId="0" xfId="0" applyFont="1" applyFill="1" applyBorder="1" applyAlignment="1" applyProtection="1">
      <alignment horizontal="center"/>
    </xf>
    <xf numFmtId="0" fontId="0" fillId="0" borderId="0" xfId="0" applyBorder="1" applyAlignment="1" applyProtection="1"/>
    <xf numFmtId="0" fontId="7" fillId="0" borderId="13" xfId="0" applyFont="1" applyFill="1" applyBorder="1" applyAlignment="1" applyProtection="1"/>
    <xf numFmtId="169" fontId="54" fillId="26" borderId="14" xfId="86" applyNumberFormat="1" applyFont="1" applyFill="1" applyBorder="1" applyAlignment="1" applyProtection="1">
      <alignment horizontal="right"/>
    </xf>
    <xf numFmtId="0" fontId="39" fillId="0" borderId="19" xfId="0" applyFont="1" applyFill="1" applyBorder="1" applyAlignment="1" applyProtection="1">
      <alignment horizontal="center"/>
    </xf>
    <xf numFmtId="0" fontId="7" fillId="0" borderId="13" xfId="0" applyFont="1" applyFill="1" applyBorder="1" applyProtection="1"/>
    <xf numFmtId="0" fontId="54" fillId="26" borderId="14" xfId="0" applyFont="1" applyFill="1" applyBorder="1" applyAlignment="1" applyProtection="1">
      <alignment horizontal="right"/>
    </xf>
    <xf numFmtId="169" fontId="7" fillId="0" borderId="14" xfId="0" applyNumberFormat="1" applyFont="1" applyFill="1" applyBorder="1" applyAlignment="1" applyProtection="1">
      <alignment horizontal="right"/>
    </xf>
    <xf numFmtId="169" fontId="7" fillId="0" borderId="0" xfId="0" applyNumberFormat="1" applyFont="1" applyFill="1" applyBorder="1" applyAlignment="1" applyProtection="1">
      <alignment horizontal="right"/>
    </xf>
    <xf numFmtId="10" fontId="7" fillId="0" borderId="14" xfId="0" applyNumberFormat="1" applyFont="1" applyBorder="1" applyProtection="1"/>
    <xf numFmtId="169" fontId="7" fillId="0" borderId="14" xfId="86" applyNumberFormat="1" applyFont="1" applyBorder="1" applyProtection="1"/>
    <xf numFmtId="0" fontId="39" fillId="0" borderId="24" xfId="0" applyFont="1" applyBorder="1" applyAlignment="1" applyProtection="1">
      <alignment horizontal="center"/>
    </xf>
    <xf numFmtId="169" fontId="39" fillId="0" borderId="24" xfId="86" quotePrefix="1" applyNumberFormat="1" applyFont="1" applyBorder="1" applyAlignment="1" applyProtection="1">
      <alignment horizontal="center" wrapText="1"/>
    </xf>
    <xf numFmtId="169" fontId="39" fillId="0" borderId="24" xfId="86" applyNumberFormat="1" applyFont="1" applyBorder="1" applyAlignment="1" applyProtection="1">
      <alignment horizontal="center"/>
    </xf>
    <xf numFmtId="169" fontId="39" fillId="0" borderId="19" xfId="86" applyNumberFormat="1" applyFont="1" applyFill="1" applyBorder="1" applyAlignment="1" applyProtection="1">
      <alignment horizontal="center" wrapText="1"/>
    </xf>
    <xf numFmtId="169" fontId="39" fillId="0" borderId="19" xfId="86" applyNumberFormat="1" applyFont="1" applyBorder="1" applyAlignment="1" applyProtection="1">
      <alignment horizontal="center" wrapText="1"/>
    </xf>
    <xf numFmtId="0" fontId="39" fillId="0" borderId="25" xfId="0" applyFont="1" applyBorder="1" applyAlignment="1" applyProtection="1">
      <alignment horizontal="center"/>
    </xf>
    <xf numFmtId="169" fontId="39" fillId="0" borderId="24" xfId="86" applyNumberFormat="1" applyFont="1" applyFill="1" applyBorder="1" applyAlignment="1" applyProtection="1">
      <alignment horizontal="center" wrapText="1"/>
    </xf>
    <xf numFmtId="169" fontId="39" fillId="0" borderId="24" xfId="86" applyNumberFormat="1" applyFont="1" applyBorder="1" applyAlignment="1" applyProtection="1">
      <alignment horizontal="center" wrapText="1"/>
    </xf>
    <xf numFmtId="0" fontId="39" fillId="0" borderId="26" xfId="0" applyFont="1" applyBorder="1" applyAlignment="1" applyProtection="1">
      <alignment horizontal="center"/>
    </xf>
    <xf numFmtId="0" fontId="39" fillId="0" borderId="26" xfId="0" applyFont="1" applyBorder="1" applyAlignment="1" applyProtection="1">
      <alignment horizontal="center" wrapText="1"/>
    </xf>
    <xf numFmtId="169" fontId="39" fillId="0" borderId="16" xfId="86" applyNumberFormat="1" applyFont="1" applyFill="1" applyBorder="1" applyAlignment="1" applyProtection="1">
      <alignment horizontal="center"/>
    </xf>
    <xf numFmtId="169" fontId="39" fillId="0" borderId="16" xfId="86" applyNumberFormat="1" applyFont="1" applyBorder="1" applyAlignment="1" applyProtection="1">
      <alignment horizontal="center"/>
    </xf>
    <xf numFmtId="0" fontId="39" fillId="0" borderId="26" xfId="0" applyFont="1" applyFill="1" applyBorder="1" applyAlignment="1" applyProtection="1">
      <alignment horizontal="center"/>
    </xf>
    <xf numFmtId="0" fontId="39" fillId="0" borderId="25" xfId="0" applyFont="1" applyFill="1" applyBorder="1" applyAlignment="1" applyProtection="1">
      <alignment horizontal="center"/>
    </xf>
    <xf numFmtId="169" fontId="39" fillId="0" borderId="26" xfId="86" applyNumberFormat="1" applyFont="1" applyBorder="1" applyAlignment="1" applyProtection="1">
      <alignment horizontal="center"/>
    </xf>
    <xf numFmtId="169" fontId="39" fillId="0" borderId="26" xfId="86" applyNumberFormat="1" applyFont="1" applyFill="1" applyBorder="1" applyAlignment="1" applyProtection="1">
      <alignment horizontal="center"/>
    </xf>
    <xf numFmtId="169" fontId="39" fillId="0" borderId="15" xfId="86" applyNumberFormat="1" applyFont="1" applyFill="1" applyBorder="1" applyAlignment="1" applyProtection="1">
      <alignment horizontal="center"/>
    </xf>
    <xf numFmtId="0" fontId="7" fillId="0" borderId="25" xfId="0" applyNumberFormat="1" applyFont="1" applyBorder="1" applyAlignment="1" applyProtection="1">
      <alignment horizontal="center"/>
    </xf>
    <xf numFmtId="169" fontId="78" fillId="26" borderId="0" xfId="0" applyNumberFormat="1" applyFont="1" applyFill="1" applyBorder="1" applyProtection="1"/>
    <xf numFmtId="169" fontId="78" fillId="26" borderId="24" xfId="86" applyNumberFormat="1" applyFont="1" applyFill="1" applyBorder="1" applyProtection="1"/>
    <xf numFmtId="169" fontId="78" fillId="26" borderId="25" xfId="86" applyNumberFormat="1" applyFont="1" applyFill="1" applyBorder="1" applyProtection="1"/>
    <xf numFmtId="169" fontId="78" fillId="26" borderId="14" xfId="86" applyNumberFormat="1" applyFont="1" applyFill="1" applyBorder="1" applyProtection="1"/>
    <xf numFmtId="170" fontId="7" fillId="0" borderId="14" xfId="0" applyNumberFormat="1" applyFont="1" applyBorder="1" applyProtection="1"/>
    <xf numFmtId="170" fontId="54" fillId="0" borderId="24" xfId="0" applyNumberFormat="1" applyFont="1" applyFill="1" applyBorder="1" applyProtection="1"/>
    <xf numFmtId="170" fontId="7" fillId="0" borderId="24" xfId="0" applyNumberFormat="1" applyFont="1" applyFill="1" applyBorder="1" applyProtection="1"/>
    <xf numFmtId="170" fontId="7" fillId="0" borderId="24" xfId="0" applyNumberFormat="1" applyFont="1" applyBorder="1" applyProtection="1"/>
    <xf numFmtId="170" fontId="7" fillId="0" borderId="25" xfId="0" applyNumberFormat="1" applyFont="1" applyBorder="1" applyProtection="1"/>
    <xf numFmtId="169" fontId="78" fillId="26" borderId="25" xfId="0" applyNumberFormat="1" applyFont="1" applyFill="1" applyBorder="1" applyProtection="1"/>
    <xf numFmtId="170" fontId="54" fillId="0" borderId="25" xfId="0" applyNumberFormat="1" applyFont="1" applyFill="1" applyBorder="1" applyProtection="1"/>
    <xf numFmtId="170" fontId="7" fillId="0" borderId="25" xfId="0" applyNumberFormat="1" applyFont="1" applyFill="1" applyBorder="1" applyProtection="1"/>
    <xf numFmtId="169" fontId="7" fillId="0" borderId="25" xfId="0" applyNumberFormat="1" applyFont="1" applyFill="1" applyBorder="1" applyProtection="1"/>
    <xf numFmtId="169" fontId="1" fillId="0" borderId="25" xfId="86" applyNumberFormat="1" applyBorder="1" applyProtection="1"/>
    <xf numFmtId="169" fontId="7" fillId="0" borderId="25" xfId="0" applyNumberFormat="1" applyFont="1" applyBorder="1" applyProtection="1"/>
    <xf numFmtId="169" fontId="7" fillId="0" borderId="25" xfId="86" applyNumberFormat="1" applyFont="1" applyBorder="1" applyProtection="1"/>
    <xf numFmtId="170" fontId="54" fillId="26" borderId="25" xfId="0" applyNumberFormat="1" applyFont="1" applyFill="1" applyBorder="1" applyProtection="1"/>
    <xf numFmtId="0" fontId="7" fillId="0" borderId="42" xfId="0" applyNumberFormat="1" applyFont="1" applyBorder="1" applyAlignment="1" applyProtection="1">
      <alignment horizontal="center"/>
    </xf>
    <xf numFmtId="169" fontId="7" fillId="0" borderId="42" xfId="0" applyNumberFormat="1" applyFont="1" applyFill="1" applyBorder="1" applyProtection="1"/>
    <xf numFmtId="169" fontId="1" fillId="0" borderId="42" xfId="86" applyNumberFormat="1" applyBorder="1" applyProtection="1"/>
    <xf numFmtId="169" fontId="7" fillId="0" borderId="42" xfId="0" applyNumberFormat="1" applyFont="1" applyBorder="1" applyProtection="1"/>
    <xf numFmtId="169" fontId="7" fillId="0" borderId="42" xfId="86" applyNumberFormat="1" applyFont="1" applyBorder="1" applyProtection="1"/>
    <xf numFmtId="169" fontId="7" fillId="0" borderId="43" xfId="86" applyNumberFormat="1" applyFont="1" applyBorder="1" applyProtection="1"/>
    <xf numFmtId="170" fontId="7" fillId="0" borderId="43" xfId="0" applyNumberFormat="1" applyFont="1" applyBorder="1" applyProtection="1"/>
    <xf numFmtId="170" fontId="54" fillId="26" borderId="42" xfId="0" applyNumberFormat="1" applyFont="1" applyFill="1" applyBorder="1" applyProtection="1"/>
    <xf numFmtId="170" fontId="7" fillId="0" borderId="42" xfId="0" applyNumberFormat="1" applyFont="1" applyBorder="1" applyProtection="1"/>
    <xf numFmtId="0" fontId="7" fillId="0" borderId="2" xfId="0" applyFont="1" applyBorder="1" applyProtection="1"/>
    <xf numFmtId="169" fontId="7" fillId="0" borderId="25" xfId="86" applyNumberFormat="1" applyFont="1" applyFill="1" applyBorder="1" applyProtection="1"/>
    <xf numFmtId="0" fontId="7" fillId="0" borderId="26" xfId="0" applyNumberFormat="1" applyFont="1" applyBorder="1" applyAlignment="1" applyProtection="1">
      <alignment horizontal="center"/>
    </xf>
    <xf numFmtId="169" fontId="7" fillId="0" borderId="26" xfId="0" applyNumberFormat="1" applyFont="1" applyFill="1" applyBorder="1" applyProtection="1"/>
    <xf numFmtId="169" fontId="1" fillId="0" borderId="26" xfId="86" applyNumberFormat="1" applyBorder="1" applyProtection="1"/>
    <xf numFmtId="169" fontId="7" fillId="0" borderId="26" xfId="0" applyNumberFormat="1" applyFont="1" applyBorder="1" applyProtection="1"/>
    <xf numFmtId="169" fontId="7" fillId="0" borderId="26" xfId="86" applyNumberFormat="1" applyFont="1" applyFill="1" applyBorder="1" applyProtection="1"/>
    <xf numFmtId="170" fontId="7" fillId="0" borderId="16" xfId="0" applyNumberFormat="1" applyFont="1" applyBorder="1" applyProtection="1"/>
    <xf numFmtId="170" fontId="54" fillId="26" borderId="26" xfId="0" applyNumberFormat="1" applyFont="1" applyFill="1" applyBorder="1" applyProtection="1"/>
    <xf numFmtId="170" fontId="7" fillId="0" borderId="26" xfId="0" applyNumberFormat="1" applyFont="1" applyBorder="1" applyProtection="1"/>
    <xf numFmtId="0" fontId="53" fillId="0" borderId="0" xfId="0" applyFont="1" applyFill="1" applyProtection="1"/>
    <xf numFmtId="0" fontId="46" fillId="0" borderId="0" xfId="0" applyFont="1" applyFill="1" applyAlignment="1" applyProtection="1">
      <alignment horizontal="right"/>
    </xf>
    <xf numFmtId="0" fontId="69" fillId="0" borderId="0" xfId="0" applyFont="1" applyProtection="1"/>
    <xf numFmtId="0" fontId="7" fillId="0" borderId="0" xfId="0" applyFont="1" applyAlignment="1" applyProtection="1">
      <alignment horizontal="left"/>
    </xf>
    <xf numFmtId="0" fontId="46" fillId="0" borderId="0" xfId="0" quotePrefix="1" applyFont="1" applyAlignment="1" applyProtection="1">
      <alignment horizontal="center"/>
    </xf>
    <xf numFmtId="0" fontId="9" fillId="0" borderId="0" xfId="0" applyFont="1" applyFill="1" applyProtection="1"/>
    <xf numFmtId="0" fontId="39" fillId="0" borderId="28" xfId="0" applyFont="1" applyFill="1" applyBorder="1" applyAlignment="1" applyProtection="1">
      <alignment horizontal="center"/>
    </xf>
    <xf numFmtId="168" fontId="7" fillId="0" borderId="29" xfId="191" applyFont="1" applyBorder="1" applyAlignment="1" applyProtection="1">
      <alignment horizontal="center"/>
    </xf>
    <xf numFmtId="168" fontId="7" fillId="0" borderId="29" xfId="191" quotePrefix="1" applyFont="1" applyBorder="1" applyAlignment="1" applyProtection="1">
      <alignment horizontal="center"/>
    </xf>
    <xf numFmtId="3" fontId="7" fillId="0" borderId="30" xfId="191" applyNumberFormat="1" applyFont="1" applyBorder="1" applyAlignment="1" applyProtection="1">
      <alignment horizontal="center"/>
    </xf>
    <xf numFmtId="0" fontId="55" fillId="0" borderId="24" xfId="0" applyFont="1" applyBorder="1" applyProtection="1"/>
    <xf numFmtId="169" fontId="7" fillId="0" borderId="13" xfId="86" quotePrefix="1" applyNumberFormat="1" applyFont="1" applyBorder="1" applyAlignment="1" applyProtection="1">
      <alignment horizontal="right"/>
    </xf>
    <xf numFmtId="169" fontId="39" fillId="0" borderId="0" xfId="86" applyNumberFormat="1" applyFont="1" applyBorder="1" applyProtection="1"/>
    <xf numFmtId="169" fontId="7" fillId="0" borderId="14" xfId="0" applyNumberFormat="1" applyFont="1" applyBorder="1" applyProtection="1"/>
    <xf numFmtId="0" fontId="57" fillId="0" borderId="31" xfId="86" applyNumberFormat="1" applyFont="1" applyFill="1" applyBorder="1" applyAlignment="1" applyProtection="1">
      <alignment horizontal="left"/>
    </xf>
    <xf numFmtId="169" fontId="7" fillId="0" borderId="32" xfId="86" quotePrefix="1" applyNumberFormat="1" applyFont="1" applyBorder="1" applyAlignment="1" applyProtection="1">
      <alignment horizontal="right"/>
    </xf>
    <xf numFmtId="169" fontId="39" fillId="0" borderId="11" xfId="86" applyNumberFormat="1" applyFont="1" applyBorder="1" applyProtection="1"/>
    <xf numFmtId="169" fontId="7" fillId="0" borderId="20" xfId="0" applyNumberFormat="1" applyFont="1" applyBorder="1" applyProtection="1"/>
    <xf numFmtId="0" fontId="52" fillId="0" borderId="0" xfId="0" applyFont="1" applyAlignment="1" applyProtection="1">
      <alignment horizontal="left"/>
    </xf>
    <xf numFmtId="169" fontId="55" fillId="0" borderId="26" xfId="86" applyNumberFormat="1" applyFont="1" applyBorder="1" applyProtection="1"/>
    <xf numFmtId="0" fontId="7" fillId="0" borderId="15" xfId="0" quotePrefix="1" applyFont="1" applyBorder="1" applyAlignment="1" applyProtection="1">
      <alignment horizontal="right"/>
    </xf>
    <xf numFmtId="169" fontId="39" fillId="0" borderId="6" xfId="86" applyNumberFormat="1" applyFont="1" applyFill="1" applyBorder="1" applyAlignment="1" applyProtection="1">
      <alignment horizontal="left"/>
    </xf>
    <xf numFmtId="169" fontId="39" fillId="0" borderId="16" xfId="86" applyNumberFormat="1" applyFont="1" applyFill="1" applyBorder="1" applyAlignment="1" applyProtection="1">
      <alignment horizontal="left"/>
    </xf>
    <xf numFmtId="169" fontId="55" fillId="0" borderId="0" xfId="0" applyNumberFormat="1" applyFont="1" applyAlignment="1" applyProtection="1">
      <alignment horizontal="left"/>
    </xf>
    <xf numFmtId="0" fontId="7" fillId="0" borderId="21" xfId="0" applyFont="1" applyFill="1" applyBorder="1" applyAlignment="1" applyProtection="1">
      <alignment horizontal="center"/>
    </xf>
    <xf numFmtId="0" fontId="39" fillId="0"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0" fillId="0" borderId="0" xfId="0" applyFill="1" applyBorder="1" applyAlignment="1" applyProtection="1"/>
    <xf numFmtId="0" fontId="7" fillId="0" borderId="14"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5" xfId="0" applyFont="1" applyBorder="1" applyProtection="1"/>
    <xf numFmtId="0" fontId="7" fillId="0" borderId="6" xfId="0" applyFont="1" applyBorder="1" applyAlignment="1" applyProtection="1">
      <alignment horizontal="center"/>
    </xf>
    <xf numFmtId="0" fontId="0" fillId="0" borderId="6" xfId="0" applyBorder="1" applyProtection="1"/>
    <xf numFmtId="0" fontId="39" fillId="0" borderId="24" xfId="0" applyFont="1" applyBorder="1" applyAlignment="1" applyProtection="1">
      <alignment horizontal="center" wrapText="1"/>
    </xf>
    <xf numFmtId="169" fontId="39" fillId="0" borderId="0" xfId="86" quotePrefix="1" applyNumberFormat="1" applyFont="1" applyBorder="1" applyAlignment="1" applyProtection="1">
      <alignment horizontal="center" wrapText="1"/>
    </xf>
    <xf numFmtId="0" fontId="39" fillId="0" borderId="25" xfId="0" applyFont="1" applyBorder="1" applyAlignment="1" applyProtection="1">
      <alignment horizontal="center" wrapText="1"/>
    </xf>
    <xf numFmtId="0" fontId="39" fillId="0" borderId="6" xfId="0" applyFont="1" applyBorder="1" applyAlignment="1" applyProtection="1">
      <alignment horizontal="center"/>
    </xf>
    <xf numFmtId="169" fontId="39" fillId="26" borderId="26" xfId="86" applyNumberFormat="1" applyFont="1" applyFill="1" applyBorder="1" applyAlignment="1" applyProtection="1">
      <alignment horizontal="center"/>
    </xf>
    <xf numFmtId="169" fontId="78" fillId="26" borderId="24" xfId="0" applyNumberFormat="1" applyFont="1" applyFill="1" applyBorder="1" applyProtection="1"/>
    <xf numFmtId="169" fontId="7" fillId="0" borderId="14" xfId="86" applyNumberFormat="1" applyFont="1" applyFill="1" applyBorder="1" applyProtection="1"/>
    <xf numFmtId="169" fontId="7" fillId="0" borderId="16" xfId="86" applyNumberFormat="1" applyFont="1" applyFill="1" applyBorder="1" applyProtection="1"/>
    <xf numFmtId="0" fontId="55" fillId="0" borderId="0" xfId="0" applyFont="1" applyProtection="1"/>
    <xf numFmtId="0" fontId="58" fillId="0" borderId="0" xfId="0" applyFont="1" applyFill="1" applyProtection="1"/>
    <xf numFmtId="0" fontId="46" fillId="0" borderId="0" xfId="0" applyFont="1" applyAlignment="1" applyProtection="1">
      <alignment horizontal="center"/>
    </xf>
    <xf numFmtId="0" fontId="68" fillId="0" borderId="0" xfId="0" applyFont="1" applyProtection="1"/>
    <xf numFmtId="169" fontId="7" fillId="0" borderId="0" xfId="0" applyNumberFormat="1" applyFont="1" applyFill="1" applyBorder="1" applyProtection="1"/>
    <xf numFmtId="169" fontId="39" fillId="26" borderId="16" xfId="86"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169" fontId="7" fillId="0" borderId="13" xfId="0" applyNumberFormat="1" applyFont="1" applyFill="1" applyBorder="1" applyProtection="1"/>
    <xf numFmtId="169" fontId="7" fillId="0" borderId="14" xfId="86" applyNumberFormat="1" applyFont="1" applyFill="1" applyBorder="1" applyAlignment="1" applyProtection="1">
      <alignment horizontal="right"/>
    </xf>
    <xf numFmtId="170" fontId="46" fillId="0" borderId="0" xfId="0" quotePrefix="1" applyNumberFormat="1" applyFont="1" applyBorder="1" applyAlignment="1" applyProtection="1">
      <alignment horizontal="center"/>
    </xf>
    <xf numFmtId="170" fontId="7" fillId="0" borderId="14" xfId="0" applyNumberFormat="1" applyFont="1" applyFill="1" applyBorder="1" applyProtection="1"/>
    <xf numFmtId="170" fontId="7" fillId="0" borderId="0" xfId="0" applyNumberFormat="1" applyFont="1" applyFill="1" applyBorder="1" applyProtection="1"/>
    <xf numFmtId="170" fontId="7" fillId="0" borderId="19" xfId="0" applyNumberFormat="1" applyFont="1" applyBorder="1" applyProtection="1"/>
    <xf numFmtId="170" fontId="54" fillId="0" borderId="17" xfId="0" applyNumberFormat="1" applyFont="1" applyFill="1" applyBorder="1" applyProtection="1"/>
    <xf numFmtId="170" fontId="7" fillId="0" borderId="13" xfId="0" applyNumberFormat="1" applyFont="1" applyBorder="1" applyProtection="1"/>
    <xf numFmtId="170" fontId="54" fillId="0" borderId="13" xfId="0" applyNumberFormat="1" applyFont="1" applyFill="1" applyBorder="1" applyProtection="1"/>
    <xf numFmtId="0" fontId="81" fillId="0" borderId="0" xfId="191" applyNumberFormat="1" applyFont="1" applyFill="1" applyBorder="1" applyAlignment="1" applyProtection="1"/>
    <xf numFmtId="0" fontId="82" fillId="0" borderId="0" xfId="0" applyFont="1" applyAlignment="1" applyProtection="1">
      <alignment horizontal="left"/>
    </xf>
    <xf numFmtId="170" fontId="54" fillId="0" borderId="34" xfId="0" applyNumberFormat="1" applyFont="1" applyFill="1" applyBorder="1" applyProtection="1"/>
    <xf numFmtId="170" fontId="7" fillId="0" borderId="40" xfId="0" applyNumberFormat="1" applyFont="1" applyFill="1" applyBorder="1" applyProtection="1"/>
    <xf numFmtId="170" fontId="7" fillId="0" borderId="34" xfId="0" applyNumberFormat="1" applyFont="1" applyBorder="1" applyProtection="1"/>
    <xf numFmtId="170" fontId="7" fillId="0" borderId="40" xfId="0" applyNumberFormat="1" applyFont="1" applyBorder="1" applyProtection="1"/>
    <xf numFmtId="170" fontId="7" fillId="0" borderId="10" xfId="0" applyNumberFormat="1" applyFont="1" applyBorder="1" applyProtection="1"/>
    <xf numFmtId="169" fontId="1" fillId="0" borderId="0" xfId="86" applyNumberFormat="1" applyBorder="1" applyProtection="1"/>
    <xf numFmtId="169" fontId="78" fillId="26" borderId="14" xfId="86" applyNumberFormat="1" applyFont="1" applyFill="1" applyBorder="1" applyAlignment="1" applyProtection="1">
      <alignment horizontal="right"/>
    </xf>
    <xf numFmtId="169" fontId="39" fillId="0" borderId="31" xfId="86" applyNumberFormat="1" applyFont="1" applyBorder="1" applyAlignment="1" applyProtection="1">
      <alignment horizontal="center"/>
    </xf>
    <xf numFmtId="170" fontId="54" fillId="0" borderId="33" xfId="0" applyNumberFormat="1" applyFont="1" applyFill="1" applyBorder="1" applyProtection="1"/>
    <xf numFmtId="170" fontId="54" fillId="0" borderId="42" xfId="0" applyNumberFormat="1" applyFont="1" applyFill="1" applyBorder="1" applyProtection="1"/>
    <xf numFmtId="170" fontId="7" fillId="0" borderId="2" xfId="0" applyNumberFormat="1" applyFont="1" applyBorder="1" applyProtection="1"/>
    <xf numFmtId="170" fontId="7" fillId="0" borderId="33" xfId="0" applyNumberFormat="1" applyFont="1" applyBorder="1" applyProtection="1"/>
    <xf numFmtId="0" fontId="55" fillId="0" borderId="0" xfId="0" quotePrefix="1" applyFont="1" applyFill="1" applyAlignment="1" applyProtection="1">
      <alignment horizontal="left"/>
    </xf>
    <xf numFmtId="169" fontId="7" fillId="0" borderId="24" xfId="0" applyNumberFormat="1" applyFont="1" applyBorder="1" applyProtection="1"/>
    <xf numFmtId="170" fontId="54" fillId="26" borderId="24" xfId="0" applyNumberFormat="1" applyFont="1" applyFill="1" applyBorder="1" applyProtection="1"/>
    <xf numFmtId="170" fontId="7" fillId="0" borderId="17" xfId="0" applyNumberFormat="1" applyFont="1" applyFill="1" applyBorder="1" applyProtection="1"/>
    <xf numFmtId="170" fontId="54" fillId="0" borderId="18" xfId="0" applyNumberFormat="1" applyFont="1" applyFill="1" applyBorder="1" applyProtection="1"/>
    <xf numFmtId="170" fontId="7" fillId="0" borderId="13" xfId="0" applyNumberFormat="1" applyFont="1" applyFill="1" applyBorder="1" applyProtection="1"/>
    <xf numFmtId="170" fontId="54" fillId="0" borderId="0" xfId="0" applyNumberFormat="1" applyFont="1" applyFill="1" applyBorder="1" applyProtection="1"/>
    <xf numFmtId="169" fontId="7" fillId="0" borderId="26" xfId="86" applyNumberFormat="1" applyFont="1" applyBorder="1" applyProtection="1"/>
    <xf numFmtId="169" fontId="80" fillId="26" borderId="0" xfId="0" applyNumberFormat="1" applyFont="1" applyFill="1" applyBorder="1" applyProtection="1"/>
    <xf numFmtId="169" fontId="80" fillId="26" borderId="25" xfId="86" applyNumberFormat="1" applyFont="1" applyFill="1" applyBorder="1" applyProtection="1"/>
    <xf numFmtId="169" fontId="80" fillId="26" borderId="25" xfId="0" applyNumberFormat="1" applyFont="1" applyFill="1" applyBorder="1" applyProtection="1"/>
    <xf numFmtId="169" fontId="80" fillId="26" borderId="24" xfId="0" applyNumberFormat="1" applyFont="1" applyFill="1" applyBorder="1" applyProtection="1"/>
    <xf numFmtId="170" fontId="80" fillId="26" borderId="25" xfId="0" applyNumberFormat="1" applyFont="1" applyFill="1" applyBorder="1" applyProtection="1"/>
    <xf numFmtId="169" fontId="80" fillId="26" borderId="14" xfId="86" applyNumberFormat="1" applyFont="1" applyFill="1" applyBorder="1" applyProtection="1"/>
    <xf numFmtId="169" fontId="7" fillId="0" borderId="15" xfId="0" applyNumberFormat="1" applyFont="1" applyBorder="1" applyProtection="1"/>
    <xf numFmtId="0" fontId="55" fillId="0" borderId="0" xfId="0" quotePrefix="1" applyFont="1" applyAlignment="1" applyProtection="1">
      <alignment horizontal="left"/>
    </xf>
    <xf numFmtId="169" fontId="80" fillId="26" borderId="24" xfId="86" applyNumberFormat="1" applyFont="1" applyFill="1" applyBorder="1" applyProtection="1"/>
    <xf numFmtId="0" fontId="79" fillId="27" borderId="22" xfId="0" applyFont="1" applyFill="1" applyBorder="1" applyAlignment="1" applyProtection="1"/>
    <xf numFmtId="169" fontId="80" fillId="26" borderId="14" xfId="86" applyNumberFormat="1" applyFont="1" applyFill="1" applyBorder="1" applyAlignment="1" applyProtection="1">
      <alignment horizontal="right"/>
    </xf>
    <xf numFmtId="169" fontId="54" fillId="0" borderId="16" xfId="86" applyNumberFormat="1" applyFont="1" applyFill="1" applyBorder="1" applyProtection="1"/>
    <xf numFmtId="0" fontId="7" fillId="0" borderId="0" xfId="0" applyFont="1" applyFill="1" applyAlignment="1" applyProtection="1"/>
    <xf numFmtId="169" fontId="7" fillId="0" borderId="0" xfId="0" applyNumberFormat="1" applyFont="1" applyAlignment="1" applyProtection="1">
      <alignment horizontal="left"/>
    </xf>
    <xf numFmtId="169" fontId="54" fillId="0" borderId="25" xfId="86" applyNumberFormat="1" applyFont="1" applyFill="1" applyBorder="1" applyProtection="1"/>
    <xf numFmtId="169" fontId="54" fillId="0" borderId="14" xfId="86" applyNumberFormat="1" applyFont="1" applyFill="1" applyBorder="1" applyProtection="1"/>
    <xf numFmtId="169" fontId="7" fillId="0" borderId="25" xfId="87" applyNumberFormat="1" applyBorder="1" applyProtection="1"/>
    <xf numFmtId="169" fontId="7" fillId="0" borderId="14" xfId="87" applyNumberFormat="1" applyFont="1" applyFill="1" applyBorder="1" applyProtection="1"/>
    <xf numFmtId="169" fontId="7" fillId="0" borderId="26" xfId="87" applyNumberFormat="1" applyBorder="1" applyProtection="1"/>
    <xf numFmtId="169" fontId="7" fillId="0" borderId="16" xfId="87" applyNumberFormat="1" applyFont="1" applyFill="1" applyBorder="1" applyProtection="1"/>
    <xf numFmtId="170" fontId="78" fillId="0" borderId="14" xfId="0" applyNumberFormat="1" applyFont="1" applyFill="1" applyBorder="1" applyProtection="1"/>
    <xf numFmtId="0" fontId="81" fillId="0" borderId="0" xfId="0" applyFont="1" applyAlignment="1" applyProtection="1">
      <alignment horizontal="left"/>
    </xf>
    <xf numFmtId="0" fontId="52" fillId="26" borderId="0" xfId="0" applyFont="1" applyFill="1" applyAlignment="1" applyProtection="1">
      <alignment horizontal="left"/>
    </xf>
    <xf numFmtId="169" fontId="7" fillId="0" borderId="6" xfId="0" applyNumberFormat="1" applyFont="1" applyBorder="1" applyProtection="1"/>
    <xf numFmtId="0" fontId="78" fillId="26" borderId="14" xfId="86" applyNumberFormat="1" applyFont="1" applyFill="1" applyBorder="1" applyAlignment="1" applyProtection="1">
      <alignment horizontal="right"/>
    </xf>
    <xf numFmtId="0" fontId="54" fillId="26" borderId="20" xfId="0" applyFont="1" applyFill="1" applyBorder="1" applyAlignment="1" applyProtection="1">
      <alignment horizontal="right"/>
    </xf>
    <xf numFmtId="169" fontId="1" fillId="26" borderId="0" xfId="0" applyNumberFormat="1" applyFont="1" applyFill="1" applyBorder="1"/>
    <xf numFmtId="169" fontId="1" fillId="26" borderId="24" xfId="86" applyNumberFormat="1" applyFont="1" applyFill="1" applyBorder="1"/>
    <xf numFmtId="169" fontId="1" fillId="26" borderId="25" xfId="0" applyNumberFormat="1" applyFont="1" applyFill="1" applyBorder="1"/>
    <xf numFmtId="169" fontId="1" fillId="26" borderId="14" xfId="86" applyNumberFormat="1" applyFont="1" applyFill="1" applyBorder="1"/>
    <xf numFmtId="169" fontId="54" fillId="26" borderId="2" xfId="86" applyNumberFormat="1" applyFont="1" applyFill="1" applyBorder="1" applyAlignment="1" applyProtection="1">
      <alignment vertical="center"/>
    </xf>
    <xf numFmtId="0" fontId="0" fillId="0" borderId="0" xfId="0" applyAlignment="1" applyProtection="1">
      <alignment wrapText="1"/>
    </xf>
    <xf numFmtId="0" fontId="7" fillId="0" borderId="0" xfId="0" applyFont="1" applyFill="1" applyBorder="1" applyAlignment="1" applyProtection="1">
      <alignment wrapText="1"/>
    </xf>
    <xf numFmtId="169" fontId="1" fillId="0" borderId="25" xfId="86" applyNumberFormat="1" applyFont="1" applyBorder="1" applyProtection="1"/>
    <xf numFmtId="169" fontId="1" fillId="26" borderId="25" xfId="0" applyNumberFormat="1" applyFont="1" applyFill="1" applyBorder="1" applyProtection="1"/>
    <xf numFmtId="169" fontId="1" fillId="26" borderId="25" xfId="86" applyNumberFormat="1" applyFont="1" applyFill="1" applyBorder="1" applyProtection="1"/>
    <xf numFmtId="169" fontId="1" fillId="26" borderId="14" xfId="86" applyNumberFormat="1" applyFont="1" applyFill="1" applyBorder="1" applyProtection="1"/>
    <xf numFmtId="0" fontId="39" fillId="0" borderId="11" xfId="0" applyFont="1" applyBorder="1" applyAlignment="1" applyProtection="1">
      <alignment horizontal="center"/>
    </xf>
    <xf numFmtId="0" fontId="65" fillId="0" borderId="0" xfId="0" applyFont="1" applyFill="1" applyBorder="1" applyAlignment="1" applyProtection="1">
      <alignment horizontal="center" wrapText="1"/>
    </xf>
    <xf numFmtId="0" fontId="0" fillId="0" borderId="0" xfId="0" applyAlignment="1" applyProtection="1">
      <alignment horizontal="left" vertical="top" wrapText="1"/>
    </xf>
    <xf numFmtId="168" fontId="7" fillId="0" borderId="17" xfId="191" applyFont="1" applyBorder="1" applyAlignment="1" applyProtection="1">
      <alignment wrapText="1"/>
    </xf>
    <xf numFmtId="0" fontId="7" fillId="0" borderId="18" xfId="0" applyFont="1" applyBorder="1" applyAlignment="1" applyProtection="1">
      <alignment wrapText="1"/>
    </xf>
    <xf numFmtId="0" fontId="7" fillId="0" borderId="19" xfId="0" applyFont="1" applyBorder="1" applyAlignment="1" applyProtection="1">
      <alignment wrapText="1"/>
    </xf>
    <xf numFmtId="0" fontId="7" fillId="0" borderId="13" xfId="0" applyFont="1" applyBorder="1" applyAlignment="1" applyProtection="1">
      <alignment wrapText="1"/>
    </xf>
    <xf numFmtId="0" fontId="7" fillId="0" borderId="0" xfId="0" applyFont="1" applyBorder="1" applyAlignment="1" applyProtection="1">
      <alignment wrapText="1"/>
    </xf>
    <xf numFmtId="0" fontId="7" fillId="0" borderId="14"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wrapText="1"/>
    </xf>
    <xf numFmtId="49" fontId="46" fillId="0" borderId="0" xfId="0" applyNumberFormat="1" applyFont="1" applyAlignment="1" applyProtection="1">
      <alignment horizontal="center"/>
    </xf>
    <xf numFmtId="0" fontId="46" fillId="0" borderId="0" xfId="0" applyFont="1" applyAlignment="1" applyProtection="1">
      <alignment horizontal="center"/>
    </xf>
    <xf numFmtId="0" fontId="6" fillId="0" borderId="0" xfId="178" quotePrefix="1" applyFont="1" applyBorder="1" applyAlignment="1" applyProtection="1">
      <alignment horizontal="center"/>
    </xf>
    <xf numFmtId="0" fontId="46" fillId="0" borderId="0" xfId="178" applyFont="1" applyBorder="1" applyAlignment="1" applyProtection="1">
      <alignment horizontal="center"/>
    </xf>
    <xf numFmtId="3" fontId="6" fillId="0" borderId="0" xfId="0" applyNumberFormat="1" applyFont="1" applyAlignment="1" applyProtection="1">
      <alignment horizontal="center"/>
    </xf>
    <xf numFmtId="0" fontId="46" fillId="0" borderId="0" xfId="0" applyNumberFormat="1" applyFont="1" applyAlignment="1" applyProtection="1">
      <alignment horizontal="center"/>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cellXfs>
  <cellStyles count="26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0" xfId="263" xr:uid="{00000000-0005-0000-0000-000056000000}"/>
    <cellStyle name="Comma 2" xfId="87" xr:uid="{00000000-0005-0000-0000-000057000000}"/>
    <cellStyle name="Comma 2 2" xfId="88" xr:uid="{00000000-0005-0000-0000-000058000000}"/>
    <cellStyle name="Comma 3" xfId="89" xr:uid="{00000000-0005-0000-0000-000059000000}"/>
    <cellStyle name="Comma 3 2" xfId="90" xr:uid="{00000000-0005-0000-0000-00005A000000}"/>
    <cellStyle name="Comma 3 3" xfId="91" xr:uid="{00000000-0005-0000-0000-00005B000000}"/>
    <cellStyle name="Comma 3 3 2" xfId="92" xr:uid="{00000000-0005-0000-0000-00005C000000}"/>
    <cellStyle name="Comma 3 4" xfId="93" xr:uid="{00000000-0005-0000-0000-00005D000000}"/>
    <cellStyle name="Comma 3 5" xfId="94" xr:uid="{00000000-0005-0000-0000-00005E000000}"/>
    <cellStyle name="Comma 4" xfId="95" xr:uid="{00000000-0005-0000-0000-00005F000000}"/>
    <cellStyle name="Comma 4 2" xfId="96" xr:uid="{00000000-0005-0000-0000-000060000000}"/>
    <cellStyle name="Comma 4 3" xfId="97" xr:uid="{00000000-0005-0000-0000-000061000000}"/>
    <cellStyle name="Comma 5" xfId="98" xr:uid="{00000000-0005-0000-0000-000062000000}"/>
    <cellStyle name="Comma 5 2" xfId="99" xr:uid="{00000000-0005-0000-0000-000063000000}"/>
    <cellStyle name="Comma 6" xfId="100" xr:uid="{00000000-0005-0000-0000-000064000000}"/>
    <cellStyle name="Comma 7" xfId="101" xr:uid="{00000000-0005-0000-0000-000065000000}"/>
    <cellStyle name="Comma0" xfId="102" xr:uid="{00000000-0005-0000-0000-000066000000}"/>
    <cellStyle name="Comma0 2" xfId="103" xr:uid="{00000000-0005-0000-0000-000067000000}"/>
    <cellStyle name="Comma0 2 2" xfId="104" xr:uid="{00000000-0005-0000-0000-000068000000}"/>
    <cellStyle name="Comma0 3" xfId="105" xr:uid="{00000000-0005-0000-0000-000069000000}"/>
    <cellStyle name="Currency" xfId="106" builtinId="4"/>
    <cellStyle name="Currency 2" xfId="107" xr:uid="{00000000-0005-0000-0000-00006B000000}"/>
    <cellStyle name="Currency 2 2" xfId="108" xr:uid="{00000000-0005-0000-0000-00006C000000}"/>
    <cellStyle name="Currency 2 2 2" xfId="109" xr:uid="{00000000-0005-0000-0000-00006D000000}"/>
    <cellStyle name="Currency 3" xfId="110" xr:uid="{00000000-0005-0000-0000-00006E000000}"/>
    <cellStyle name="Currency 3 2" xfId="111" xr:uid="{00000000-0005-0000-0000-00006F000000}"/>
    <cellStyle name="Currency 3 3" xfId="112" xr:uid="{00000000-0005-0000-0000-000070000000}"/>
    <cellStyle name="Currency 3 3 2" xfId="113" xr:uid="{00000000-0005-0000-0000-000071000000}"/>
    <cellStyle name="Currency 3 4" xfId="114" xr:uid="{00000000-0005-0000-0000-000072000000}"/>
    <cellStyle name="Currency 3 5" xfId="115" xr:uid="{00000000-0005-0000-0000-000073000000}"/>
    <cellStyle name="Currency 4" xfId="116" xr:uid="{00000000-0005-0000-0000-000074000000}"/>
    <cellStyle name="Currency 4 2" xfId="117" xr:uid="{00000000-0005-0000-0000-000075000000}"/>
    <cellStyle name="Currency 4 2 2" xfId="118" xr:uid="{00000000-0005-0000-0000-000076000000}"/>
    <cellStyle name="Currency 5" xfId="119" xr:uid="{00000000-0005-0000-0000-000077000000}"/>
    <cellStyle name="Currency 5 2" xfId="120" xr:uid="{00000000-0005-0000-0000-000078000000}"/>
    <cellStyle name="Currency 6" xfId="121" xr:uid="{00000000-0005-0000-0000-000079000000}"/>
    <cellStyle name="Currency 6 2" xfId="122" xr:uid="{00000000-0005-0000-0000-00007A000000}"/>
    <cellStyle name="Currency 6 3" xfId="123" xr:uid="{00000000-0005-0000-0000-00007B000000}"/>
    <cellStyle name="Currency 6 4" xfId="124" xr:uid="{00000000-0005-0000-0000-00007C000000}"/>
    <cellStyle name="Currency0" xfId="125" xr:uid="{00000000-0005-0000-0000-00007D000000}"/>
    <cellStyle name="Currency0 2" xfId="126" xr:uid="{00000000-0005-0000-0000-00007E000000}"/>
    <cellStyle name="Currency0 2 2" xfId="127" xr:uid="{00000000-0005-0000-0000-00007F000000}"/>
    <cellStyle name="Currency0 3" xfId="128" xr:uid="{00000000-0005-0000-0000-000080000000}"/>
    <cellStyle name="Date" xfId="129" xr:uid="{00000000-0005-0000-0000-000081000000}"/>
    <cellStyle name="Date 2" xfId="130" xr:uid="{00000000-0005-0000-0000-000082000000}"/>
    <cellStyle name="Date 2 2" xfId="131" xr:uid="{00000000-0005-0000-0000-000083000000}"/>
    <cellStyle name="Date 3" xfId="132" xr:uid="{00000000-0005-0000-0000-000084000000}"/>
    <cellStyle name="Explanatory Text" xfId="133" builtinId="53" customBuiltin="1"/>
    <cellStyle name="Explanatory Text 2" xfId="134" xr:uid="{00000000-0005-0000-0000-000086000000}"/>
    <cellStyle name="Fixed" xfId="135" xr:uid="{00000000-0005-0000-0000-000087000000}"/>
    <cellStyle name="Fixed 2" xfId="136" xr:uid="{00000000-0005-0000-0000-000088000000}"/>
    <cellStyle name="Fixed 2 2" xfId="137" xr:uid="{00000000-0005-0000-0000-000089000000}"/>
    <cellStyle name="Fixed 3" xfId="138" xr:uid="{00000000-0005-0000-0000-00008A000000}"/>
    <cellStyle name="Good" xfId="139" builtinId="26" customBuiltin="1"/>
    <cellStyle name="Good 2" xfId="140" xr:uid="{00000000-0005-0000-0000-00008C000000}"/>
    <cellStyle name="Heading 1" xfId="141" builtinId="16" customBuiltin="1"/>
    <cellStyle name="Heading 1 2" xfId="142" xr:uid="{00000000-0005-0000-0000-00008E000000}"/>
    <cellStyle name="Heading 1 3" xfId="143" xr:uid="{00000000-0005-0000-0000-00008F000000}"/>
    <cellStyle name="Heading 1 3 2" xfId="144" xr:uid="{00000000-0005-0000-0000-000090000000}"/>
    <cellStyle name="Heading 2" xfId="145" builtinId="17" customBuiltin="1"/>
    <cellStyle name="Heading 2 2" xfId="146" xr:uid="{00000000-0005-0000-0000-000092000000}"/>
    <cellStyle name="Heading 2 3" xfId="147" xr:uid="{00000000-0005-0000-0000-000093000000}"/>
    <cellStyle name="Heading 2 3 2" xfId="148" xr:uid="{00000000-0005-0000-0000-000094000000}"/>
    <cellStyle name="Heading 3" xfId="149" builtinId="18" customBuiltin="1"/>
    <cellStyle name="Heading 3 2" xfId="150" xr:uid="{00000000-0005-0000-0000-000096000000}"/>
    <cellStyle name="Heading 4" xfId="151" builtinId="19" customBuiltin="1"/>
    <cellStyle name="Heading 4 2" xfId="152" xr:uid="{00000000-0005-0000-0000-000098000000}"/>
    <cellStyle name="Heading1" xfId="153" xr:uid="{00000000-0005-0000-0000-000099000000}"/>
    <cellStyle name="Heading2" xfId="154" xr:uid="{00000000-0005-0000-0000-00009A000000}"/>
    <cellStyle name="Input" xfId="155" builtinId="20" customBuiltin="1"/>
    <cellStyle name="Input 2" xfId="156" xr:uid="{00000000-0005-0000-0000-00009C000000}"/>
    <cellStyle name="Linked Cell" xfId="157" builtinId="24" customBuiltin="1"/>
    <cellStyle name="Linked Cell 2" xfId="158" xr:uid="{00000000-0005-0000-0000-00009E000000}"/>
    <cellStyle name="M" xfId="159" xr:uid="{00000000-0005-0000-0000-00009F000000}"/>
    <cellStyle name="M 2" xfId="160" xr:uid="{00000000-0005-0000-0000-0000A0000000}"/>
    <cellStyle name="M 2 2" xfId="161" xr:uid="{00000000-0005-0000-0000-0000A1000000}"/>
    <cellStyle name="M 2 2 2" xfId="162" xr:uid="{00000000-0005-0000-0000-0000A2000000}"/>
    <cellStyle name="M 3" xfId="163" xr:uid="{00000000-0005-0000-0000-0000A3000000}"/>
    <cellStyle name="M 3 2" xfId="164" xr:uid="{00000000-0005-0000-0000-0000A4000000}"/>
    <cellStyle name="M 3 2 2" xfId="165" xr:uid="{00000000-0005-0000-0000-0000A5000000}"/>
    <cellStyle name="M 4" xfId="166" xr:uid="{00000000-0005-0000-0000-0000A6000000}"/>
    <cellStyle name="M 5" xfId="167" xr:uid="{00000000-0005-0000-0000-0000A7000000}"/>
    <cellStyle name="M 5 2" xfId="168" xr:uid="{00000000-0005-0000-0000-0000A8000000}"/>
    <cellStyle name="M 6" xfId="169" xr:uid="{00000000-0005-0000-0000-0000A9000000}"/>
    <cellStyle name="M 6 2" xfId="170" xr:uid="{00000000-0005-0000-0000-0000AA000000}"/>
    <cellStyle name="M 7" xfId="171" xr:uid="{00000000-0005-0000-0000-0000AB000000}"/>
    <cellStyle name="Neutral" xfId="172" builtinId="28" customBuiltin="1"/>
    <cellStyle name="Neutral 2" xfId="173" xr:uid="{00000000-0005-0000-0000-0000AD000000}"/>
    <cellStyle name="Normal" xfId="0" builtinId="0"/>
    <cellStyle name="Normal 12" xfId="174" xr:uid="{00000000-0005-0000-0000-0000AF000000}"/>
    <cellStyle name="Normal 2" xfId="175" xr:uid="{00000000-0005-0000-0000-0000B0000000}"/>
    <cellStyle name="Normal 2 2" xfId="176" xr:uid="{00000000-0005-0000-0000-0000B1000000}"/>
    <cellStyle name="Normal 3" xfId="177" xr:uid="{00000000-0005-0000-0000-0000B2000000}"/>
    <cellStyle name="Normal 3 2" xfId="178" xr:uid="{00000000-0005-0000-0000-0000B3000000}"/>
    <cellStyle name="Normal 3 3" xfId="179" xr:uid="{00000000-0005-0000-0000-0000B4000000}"/>
    <cellStyle name="Normal 3_OPCo Period I PJM  Formula Rate" xfId="180" xr:uid="{00000000-0005-0000-0000-0000B5000000}"/>
    <cellStyle name="Normal 4" xfId="181" xr:uid="{00000000-0005-0000-0000-0000B6000000}"/>
    <cellStyle name="Normal 4 2" xfId="182" xr:uid="{00000000-0005-0000-0000-0000B7000000}"/>
    <cellStyle name="Normal 4 3" xfId="183" xr:uid="{00000000-0005-0000-0000-0000B8000000}"/>
    <cellStyle name="Normal 4 3 2" xfId="184" xr:uid="{00000000-0005-0000-0000-0000B9000000}"/>
    <cellStyle name="Normal 4 4" xfId="185" xr:uid="{00000000-0005-0000-0000-0000BA000000}"/>
    <cellStyle name="Normal 4 5" xfId="186" xr:uid="{00000000-0005-0000-0000-0000BB000000}"/>
    <cellStyle name="Normal 4 5 2" xfId="187" xr:uid="{00000000-0005-0000-0000-0000BC000000}"/>
    <cellStyle name="Normal 4 5 3" xfId="188" xr:uid="{00000000-0005-0000-0000-0000BD000000}"/>
    <cellStyle name="Normal 4_PBOP Exhibit 1" xfId="189" xr:uid="{00000000-0005-0000-0000-0000BE000000}"/>
    <cellStyle name="Normal 5" xfId="190" xr:uid="{00000000-0005-0000-0000-0000BF000000}"/>
    <cellStyle name="Normal_FN1 Ratebase Draft SPP template (6-11-04) v2" xfId="191" xr:uid="{00000000-0005-0000-0000-0000C0000000}"/>
    <cellStyle name="Note" xfId="192" builtinId="10" customBuiltin="1"/>
    <cellStyle name="Note 2" xfId="193" xr:uid="{00000000-0005-0000-0000-0000C2000000}"/>
    <cellStyle name="Output" xfId="194" builtinId="21" customBuiltin="1"/>
    <cellStyle name="Output 2" xfId="195" xr:uid="{00000000-0005-0000-0000-0000C4000000}"/>
    <cellStyle name="Percent" xfId="196" builtinId="5"/>
    <cellStyle name="Percent 2" xfId="197" xr:uid="{00000000-0005-0000-0000-0000C6000000}"/>
    <cellStyle name="Percent 2 2" xfId="198" xr:uid="{00000000-0005-0000-0000-0000C7000000}"/>
    <cellStyle name="Percent 2 2 2" xfId="199" xr:uid="{00000000-0005-0000-0000-0000C8000000}"/>
    <cellStyle name="Percent 3" xfId="200" xr:uid="{00000000-0005-0000-0000-0000C9000000}"/>
    <cellStyle name="Percent 3 2" xfId="201" xr:uid="{00000000-0005-0000-0000-0000CA000000}"/>
    <cellStyle name="Percent 3 3" xfId="202" xr:uid="{00000000-0005-0000-0000-0000CB000000}"/>
    <cellStyle name="Percent 3 3 2" xfId="203" xr:uid="{00000000-0005-0000-0000-0000CC000000}"/>
    <cellStyle name="Percent 3 4" xfId="204" xr:uid="{00000000-0005-0000-0000-0000CD000000}"/>
    <cellStyle name="Percent 3 5" xfId="205" xr:uid="{00000000-0005-0000-0000-0000CE000000}"/>
    <cellStyle name="Percent 4" xfId="206" xr:uid="{00000000-0005-0000-0000-0000CF000000}"/>
    <cellStyle name="Percent 4 2" xfId="207" xr:uid="{00000000-0005-0000-0000-0000D0000000}"/>
    <cellStyle name="Percent 4 3" xfId="208" xr:uid="{00000000-0005-0000-0000-0000D1000000}"/>
    <cellStyle name="Percent 5" xfId="209" xr:uid="{00000000-0005-0000-0000-0000D2000000}"/>
    <cellStyle name="Percent 5 2" xfId="210" xr:uid="{00000000-0005-0000-0000-0000D3000000}"/>
    <cellStyle name="Percent 5 3" xfId="211" xr:uid="{00000000-0005-0000-0000-0000D4000000}"/>
    <cellStyle name="Percent 6" xfId="212" xr:uid="{00000000-0005-0000-0000-0000D5000000}"/>
    <cellStyle name="Percent 7" xfId="213" xr:uid="{00000000-0005-0000-0000-0000D6000000}"/>
    <cellStyle name="PSChar" xfId="214" xr:uid="{00000000-0005-0000-0000-0000D7000000}"/>
    <cellStyle name="PSChar 2" xfId="215" xr:uid="{00000000-0005-0000-0000-0000D8000000}"/>
    <cellStyle name="PSChar 2 2" xfId="216" xr:uid="{00000000-0005-0000-0000-0000D9000000}"/>
    <cellStyle name="PSDate" xfId="217" xr:uid="{00000000-0005-0000-0000-0000DA000000}"/>
    <cellStyle name="PSDec" xfId="218" xr:uid="{00000000-0005-0000-0000-0000DB000000}"/>
    <cellStyle name="PSdesc" xfId="219" xr:uid="{00000000-0005-0000-0000-0000DC000000}"/>
    <cellStyle name="PSHeading" xfId="220" xr:uid="{00000000-0005-0000-0000-0000DD000000}"/>
    <cellStyle name="PSInt" xfId="221" xr:uid="{00000000-0005-0000-0000-0000DE000000}"/>
    <cellStyle name="PSSpacer" xfId="222" xr:uid="{00000000-0005-0000-0000-0000DF000000}"/>
    <cellStyle name="PStest" xfId="223" xr:uid="{00000000-0005-0000-0000-0000E0000000}"/>
    <cellStyle name="R00A" xfId="224" xr:uid="{00000000-0005-0000-0000-0000E1000000}"/>
    <cellStyle name="R00B" xfId="225" xr:uid="{00000000-0005-0000-0000-0000E2000000}"/>
    <cellStyle name="R00L" xfId="226" xr:uid="{00000000-0005-0000-0000-0000E3000000}"/>
    <cellStyle name="R01A" xfId="227" xr:uid="{00000000-0005-0000-0000-0000E4000000}"/>
    <cellStyle name="R01B" xfId="228" xr:uid="{00000000-0005-0000-0000-0000E5000000}"/>
    <cellStyle name="R01H" xfId="229" xr:uid="{00000000-0005-0000-0000-0000E6000000}"/>
    <cellStyle name="R01L" xfId="230" xr:uid="{00000000-0005-0000-0000-0000E7000000}"/>
    <cellStyle name="R02A" xfId="231" xr:uid="{00000000-0005-0000-0000-0000E8000000}"/>
    <cellStyle name="R02B" xfId="232" xr:uid="{00000000-0005-0000-0000-0000E9000000}"/>
    <cellStyle name="R02H" xfId="233" xr:uid="{00000000-0005-0000-0000-0000EA000000}"/>
    <cellStyle name="R02L" xfId="234" xr:uid="{00000000-0005-0000-0000-0000EB000000}"/>
    <cellStyle name="R03A" xfId="235" xr:uid="{00000000-0005-0000-0000-0000EC000000}"/>
    <cellStyle name="R03B" xfId="236" xr:uid="{00000000-0005-0000-0000-0000ED000000}"/>
    <cellStyle name="R03H" xfId="237" xr:uid="{00000000-0005-0000-0000-0000EE000000}"/>
    <cellStyle name="R03L" xfId="238" xr:uid="{00000000-0005-0000-0000-0000EF000000}"/>
    <cellStyle name="R04A" xfId="239" xr:uid="{00000000-0005-0000-0000-0000F0000000}"/>
    <cellStyle name="R04B" xfId="240" xr:uid="{00000000-0005-0000-0000-0000F1000000}"/>
    <cellStyle name="R04H" xfId="241" xr:uid="{00000000-0005-0000-0000-0000F2000000}"/>
    <cellStyle name="R04L" xfId="242" xr:uid="{00000000-0005-0000-0000-0000F3000000}"/>
    <cellStyle name="R05A" xfId="243" xr:uid="{00000000-0005-0000-0000-0000F4000000}"/>
    <cellStyle name="R05B" xfId="244" xr:uid="{00000000-0005-0000-0000-0000F5000000}"/>
    <cellStyle name="R05H" xfId="245" xr:uid="{00000000-0005-0000-0000-0000F6000000}"/>
    <cellStyle name="R05L" xfId="246" xr:uid="{00000000-0005-0000-0000-0000F7000000}"/>
    <cellStyle name="R06A" xfId="247" xr:uid="{00000000-0005-0000-0000-0000F8000000}"/>
    <cellStyle name="R06B" xfId="248" xr:uid="{00000000-0005-0000-0000-0000F9000000}"/>
    <cellStyle name="R06H" xfId="249" xr:uid="{00000000-0005-0000-0000-0000FA000000}"/>
    <cellStyle name="R06L" xfId="250" xr:uid="{00000000-0005-0000-0000-0000FB000000}"/>
    <cellStyle name="R07A" xfId="251" xr:uid="{00000000-0005-0000-0000-0000FC000000}"/>
    <cellStyle name="R07B" xfId="252" xr:uid="{00000000-0005-0000-0000-0000FD000000}"/>
    <cellStyle name="R07H" xfId="253" xr:uid="{00000000-0005-0000-0000-0000FE000000}"/>
    <cellStyle name="R07L" xfId="254" xr:uid="{00000000-0005-0000-0000-0000FF000000}"/>
    <cellStyle name="Title" xfId="255" builtinId="15" customBuiltin="1"/>
    <cellStyle name="Title 2" xfId="256" xr:uid="{00000000-0005-0000-0000-000001010000}"/>
    <cellStyle name="Total" xfId="257" builtinId="25" customBuiltin="1"/>
    <cellStyle name="Total 2" xfId="258" xr:uid="{00000000-0005-0000-0000-000003010000}"/>
    <cellStyle name="Total 3" xfId="259" xr:uid="{00000000-0005-0000-0000-000004010000}"/>
    <cellStyle name="Total 3 2" xfId="260" xr:uid="{00000000-0005-0000-0000-000005010000}"/>
    <cellStyle name="Warning Text" xfId="261" builtinId="11" customBuiltin="1"/>
    <cellStyle name="Warning Text 2" xfId="262" xr:uid="{00000000-0005-0000-0000-000007010000}"/>
  </cellStyles>
  <dxfs count="52">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a:extLst>
            <a:ext uri="{FF2B5EF4-FFF2-40B4-BE49-F238E27FC236}">
              <a16:creationId xmlns:a16="http://schemas.microsoft.com/office/drawing/2014/main" id="{00000000-0008-0000-0100-000012060000}"/>
            </a:ext>
          </a:extLst>
        </xdr:cNvPr>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2936" name="Text Box 1">
          <a:extLst>
            <a:ext uri="{FF2B5EF4-FFF2-40B4-BE49-F238E27FC236}">
              <a16:creationId xmlns:a16="http://schemas.microsoft.com/office/drawing/2014/main" id="{00000000-0008-0000-0B00-0000985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1912" name="Text Box 1">
          <a:extLst>
            <a:ext uri="{FF2B5EF4-FFF2-40B4-BE49-F238E27FC236}">
              <a16:creationId xmlns:a16="http://schemas.microsoft.com/office/drawing/2014/main" id="{00000000-0008-0000-0C00-0000985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3960" name="Text Box 1">
          <a:extLst>
            <a:ext uri="{FF2B5EF4-FFF2-40B4-BE49-F238E27FC236}">
              <a16:creationId xmlns:a16="http://schemas.microsoft.com/office/drawing/2014/main" id="{00000000-0008-0000-0D00-0000985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4984" name="Text Box 1">
          <a:extLst>
            <a:ext uri="{FF2B5EF4-FFF2-40B4-BE49-F238E27FC236}">
              <a16:creationId xmlns:a16="http://schemas.microsoft.com/office/drawing/2014/main" id="{00000000-0008-0000-0E00-0000986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5996" name="Text Box 1">
          <a:extLst>
            <a:ext uri="{FF2B5EF4-FFF2-40B4-BE49-F238E27FC236}">
              <a16:creationId xmlns:a16="http://schemas.microsoft.com/office/drawing/2014/main" id="{00000000-0008-0000-0F00-00008C6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6977" name="Text Box 1">
          <a:extLst>
            <a:ext uri="{FF2B5EF4-FFF2-40B4-BE49-F238E27FC236}">
              <a16:creationId xmlns:a16="http://schemas.microsoft.com/office/drawing/2014/main" id="{00000000-0008-0000-1000-0000616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28966" name="Text Box 1">
          <a:extLst>
            <a:ext uri="{FF2B5EF4-FFF2-40B4-BE49-F238E27FC236}">
              <a16:creationId xmlns:a16="http://schemas.microsoft.com/office/drawing/2014/main" id="{00000000-0008-0000-1100-0000267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1998" name="Text Box 1">
          <a:extLst>
            <a:ext uri="{FF2B5EF4-FFF2-40B4-BE49-F238E27FC236}">
              <a16:creationId xmlns:a16="http://schemas.microsoft.com/office/drawing/2014/main" id="{00000000-0008-0000-1200-0000FE7C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3022" name="Text Box 1">
          <a:extLst>
            <a:ext uri="{FF2B5EF4-FFF2-40B4-BE49-F238E27FC236}">
              <a16:creationId xmlns:a16="http://schemas.microsoft.com/office/drawing/2014/main" id="{00000000-0008-0000-1300-0000FE80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76200</xdr:rowOff>
    </xdr:to>
    <xdr:sp macro="" textlink="">
      <xdr:nvSpPr>
        <xdr:cNvPr id="36881" name="Text Box 1">
          <a:extLst>
            <a:ext uri="{FF2B5EF4-FFF2-40B4-BE49-F238E27FC236}">
              <a16:creationId xmlns:a16="http://schemas.microsoft.com/office/drawing/2014/main" id="{00000000-0008-0000-1400-000011900000}"/>
            </a:ext>
          </a:extLst>
        </xdr:cNvPr>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523875</xdr:colOff>
      <xdr:row>0</xdr:row>
      <xdr:rowOff>219075</xdr:rowOff>
    </xdr:to>
    <xdr:sp macro="" textlink="">
      <xdr:nvSpPr>
        <xdr:cNvPr id="2597" name="Text Box 1">
          <a:extLst>
            <a:ext uri="{FF2B5EF4-FFF2-40B4-BE49-F238E27FC236}">
              <a16:creationId xmlns:a16="http://schemas.microsoft.com/office/drawing/2014/main" id="{00000000-0008-0000-0300-0000250A0000}"/>
            </a:ext>
          </a:extLst>
        </xdr:cNvPr>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0</xdr:rowOff>
    </xdr:to>
    <xdr:sp macro="" textlink="">
      <xdr:nvSpPr>
        <xdr:cNvPr id="35909" name="Text Box 1">
          <a:extLst>
            <a:ext uri="{FF2B5EF4-FFF2-40B4-BE49-F238E27FC236}">
              <a16:creationId xmlns:a16="http://schemas.microsoft.com/office/drawing/2014/main" id="{00000000-0008-0000-1500-0000458C0000}"/>
            </a:ext>
          </a:extLst>
        </xdr:cNvPr>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12700</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4073525" y="0"/>
          <a:ext cx="114300" cy="330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2784" name="Text Box 1">
          <a:extLst>
            <a:ext uri="{FF2B5EF4-FFF2-40B4-BE49-F238E27FC236}">
              <a16:creationId xmlns:a16="http://schemas.microsoft.com/office/drawing/2014/main" id="{00000000-0008-0000-1700-0000F03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3568" name="Text Box 1">
          <a:extLst>
            <a:ext uri="{FF2B5EF4-FFF2-40B4-BE49-F238E27FC236}">
              <a16:creationId xmlns:a16="http://schemas.microsoft.com/office/drawing/2014/main" id="{00000000-0008-0000-0400-0000F00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5856" name="Text Box 1">
          <a:extLst>
            <a:ext uri="{FF2B5EF4-FFF2-40B4-BE49-F238E27FC236}">
              <a16:creationId xmlns:a16="http://schemas.microsoft.com/office/drawing/2014/main" id="{00000000-0008-0000-0500-0000F03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6881" name="Text Box 1">
          <a:extLst>
            <a:ext uri="{FF2B5EF4-FFF2-40B4-BE49-F238E27FC236}">
              <a16:creationId xmlns:a16="http://schemas.microsoft.com/office/drawing/2014/main" id="{00000000-0008-0000-0600-0000F14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7904" name="Text Box 1">
          <a:extLst>
            <a:ext uri="{FF2B5EF4-FFF2-40B4-BE49-F238E27FC236}">
              <a16:creationId xmlns:a16="http://schemas.microsoft.com/office/drawing/2014/main" id="{00000000-0008-0000-0700-0000F045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8929" name="Text Box 1">
          <a:extLst>
            <a:ext uri="{FF2B5EF4-FFF2-40B4-BE49-F238E27FC236}">
              <a16:creationId xmlns:a16="http://schemas.microsoft.com/office/drawing/2014/main" id="{00000000-0008-0000-0800-0000F149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9898" name="Text Box 1">
          <a:extLst>
            <a:ext uri="{FF2B5EF4-FFF2-40B4-BE49-F238E27FC236}">
              <a16:creationId xmlns:a16="http://schemas.microsoft.com/office/drawing/2014/main" id="{00000000-0008-0000-0900-0000BA4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0920" name="Text Box 1">
          <a:extLst>
            <a:ext uri="{FF2B5EF4-FFF2-40B4-BE49-F238E27FC236}">
              <a16:creationId xmlns:a16="http://schemas.microsoft.com/office/drawing/2014/main" id="{00000000-0008-0000-0A00-0000B85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ing/dbw/SWPP%20Form%20Rate/Lila%20added/AEP%20SPP%20For%20Rate%20Proj%20w%2013%20mth%20rate%20base%20june-07%20-%20June-08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75"/>
  <sheetViews>
    <sheetView tabSelected="1" zoomScale="70" zoomScaleNormal="70" zoomScaleSheetLayoutView="80" workbookViewId="0">
      <selection activeCell="A7" sqref="A7"/>
    </sheetView>
  </sheetViews>
  <sheetFormatPr defaultColWidth="8.7109375" defaultRowHeight="12.75" customHeight="1"/>
  <cols>
    <col min="1" max="1" width="9.85546875" style="145" customWidth="1"/>
    <col min="2" max="2" width="7" style="145" bestFit="1" customWidth="1"/>
    <col min="3" max="3" width="43.140625" style="145" customWidth="1"/>
    <col min="4" max="4" width="9" style="145" customWidth="1"/>
    <col min="5" max="5" width="15.7109375" style="145" customWidth="1"/>
    <col min="6" max="6" width="13.85546875" style="145" customWidth="1"/>
    <col min="7" max="7" width="14.28515625" style="145" customWidth="1"/>
    <col min="8" max="8" width="2.85546875" style="145" customWidth="1"/>
    <col min="9" max="9" width="13.7109375" style="145" customWidth="1"/>
    <col min="10" max="10" width="13.28515625" style="145" customWidth="1"/>
    <col min="11" max="11" width="13.85546875" style="145" bestFit="1" customWidth="1"/>
    <col min="12" max="12" width="16.42578125" style="145" customWidth="1"/>
    <col min="13" max="13" width="2.42578125" style="145" customWidth="1"/>
    <col min="14" max="14" width="6.140625" style="145" customWidth="1"/>
    <col min="15" max="15" width="7.7109375" style="145" customWidth="1"/>
    <col min="16" max="16" width="10.7109375" style="145" customWidth="1"/>
    <col min="17" max="17" width="11.140625" style="145" bestFit="1" customWidth="1"/>
    <col min="18" max="18" width="18.7109375" style="145" customWidth="1"/>
    <col min="19" max="19" width="2.42578125" style="145" customWidth="1"/>
    <col min="20" max="20" width="14.28515625" style="145" customWidth="1"/>
    <col min="21" max="21" width="8.7109375" style="145"/>
    <col min="22" max="22" width="18" style="145" customWidth="1"/>
    <col min="23" max="16384" width="8.7109375" style="145"/>
  </cols>
  <sheetData>
    <row r="1" spans="1:23" ht="15">
      <c r="H1" s="146" t="s">
        <v>136</v>
      </c>
      <c r="U1" s="145">
        <v>2022</v>
      </c>
    </row>
    <row r="2" spans="1:23" ht="15">
      <c r="H2" s="147" t="s">
        <v>159</v>
      </c>
    </row>
    <row r="3" spans="1:23" ht="15">
      <c r="H3" s="148" t="str">
        <f>"For Calendar Year "&amp;U1-1&amp;" and Projected Year "&amp;U1</f>
        <v>For Calendar Year 2021 and Projected Year 2022</v>
      </c>
    </row>
    <row r="4" spans="1:23" ht="15">
      <c r="H4" s="149"/>
    </row>
    <row r="5" spans="1:23" ht="15.75">
      <c r="H5" s="150" t="s">
        <v>137</v>
      </c>
    </row>
    <row r="7" spans="1:23" ht="18">
      <c r="C7" s="151"/>
      <c r="E7" s="151"/>
      <c r="F7" s="151"/>
      <c r="G7" s="151"/>
      <c r="H7" s="151" t="s">
        <v>188</v>
      </c>
      <c r="I7" s="151"/>
      <c r="J7" s="151"/>
      <c r="K7" s="151"/>
      <c r="L7" s="151"/>
    </row>
    <row r="8" spans="1:23">
      <c r="D8" s="152"/>
    </row>
    <row r="9" spans="1:23">
      <c r="A9" s="145"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153" t="s">
        <v>138</v>
      </c>
      <c r="B12" s="153" t="s">
        <v>139</v>
      </c>
      <c r="C12" s="154" t="s">
        <v>140</v>
      </c>
      <c r="D12" s="153" t="s">
        <v>141</v>
      </c>
      <c r="E12" s="153" t="s">
        <v>142</v>
      </c>
      <c r="F12" s="153" t="s">
        <v>143</v>
      </c>
      <c r="G12" s="153" t="str">
        <f>"(G) = "&amp;E12&amp;" + "&amp;F12</f>
        <v>(G) = (E) + (F)</v>
      </c>
      <c r="H12" s="153"/>
      <c r="I12" s="153" t="s">
        <v>144</v>
      </c>
      <c r="J12" s="153" t="s">
        <v>145</v>
      </c>
      <c r="K12" s="155" t="s">
        <v>167</v>
      </c>
      <c r="L12" s="153" t="str">
        <f>"(K) = "&amp;J12&amp;" - "&amp;K12</f>
        <v>(K) = (I) - (J)</v>
      </c>
      <c r="M12" s="153"/>
      <c r="N12" s="153" t="s">
        <v>168</v>
      </c>
      <c r="O12" s="153" t="s">
        <v>146</v>
      </c>
      <c r="P12" s="153" t="str">
        <f>"(N) = "&amp;N12&amp;"-"&amp;O12</f>
        <v>(N) = (L)-(M)</v>
      </c>
      <c r="Q12" s="153" t="s">
        <v>169</v>
      </c>
      <c r="R12" s="153" t="str">
        <f>"(P) = "&amp;I12&amp;"+"&amp;LEFT(L12,3)&amp;"+"&amp;LEFT(P12,3)&amp;"+"&amp;Q12</f>
        <v>(P) = (H)+(K)+(N)+(O)</v>
      </c>
      <c r="S12" s="153"/>
      <c r="T12" s="153" t="str">
        <f>"(Q) = "&amp;LEFT(G12,3)&amp;" + "&amp;LEFT(R12,3)</f>
        <v>(Q) = (G) + (P)</v>
      </c>
      <c r="U12" s="153"/>
      <c r="V12" s="156"/>
      <c r="W12" s="156"/>
    </row>
    <row r="13" spans="1:23" ht="16.5" customHeight="1">
      <c r="A13" s="157"/>
      <c r="B13" s="157"/>
      <c r="C13" s="157"/>
      <c r="D13" s="157"/>
      <c r="E13" s="650" t="str">
        <f>"Projected ARR For "&amp;U1&amp;" From WS-F"</f>
        <v>Projected ARR For 2022 From WS-F</v>
      </c>
      <c r="F13" s="650"/>
      <c r="G13" s="650"/>
      <c r="H13" s="157"/>
      <c r="I13" s="158" t="str">
        <f>"True-Up ARR CY"&amp;U1-1&amp;" From Worksheet G  (includes adjustment for SPP Collections)"</f>
        <v>True-Up ARR CY2021 From Worksheet G  (includes adjustment for SPP Collections)</v>
      </c>
      <c r="J13" s="158"/>
      <c r="K13" s="158"/>
      <c r="L13" s="158"/>
      <c r="M13" s="158"/>
      <c r="N13" s="158"/>
      <c r="O13" s="158"/>
      <c r="P13" s="158"/>
      <c r="Q13" s="158"/>
      <c r="R13" s="159"/>
      <c r="S13" s="157"/>
      <c r="T13" s="157"/>
      <c r="U13" s="157"/>
    </row>
    <row r="14" spans="1:23" ht="18" customHeight="1">
      <c r="G14" s="160"/>
      <c r="T14" s="651" t="str">
        <f>"Total ADJUSTED Revenue Requirement Effective
1/1/"&amp;U1&amp;""</f>
        <v>Total ADJUSTED Revenue Requirement Effective
1/1/2022</v>
      </c>
    </row>
    <row r="15" spans="1:23" ht="18" customHeight="1" thickBot="1">
      <c r="D15" s="157"/>
      <c r="E15" s="161"/>
      <c r="F15" s="161"/>
      <c r="G15" s="161"/>
      <c r="I15" s="158" t="s">
        <v>147</v>
      </c>
      <c r="J15" s="162"/>
      <c r="K15" s="162"/>
      <c r="L15" s="162"/>
      <c r="M15" s="163"/>
      <c r="N15" s="158" t="s">
        <v>166</v>
      </c>
      <c r="O15" s="164"/>
      <c r="P15" s="164"/>
      <c r="Q15" s="165"/>
      <c r="T15" s="651"/>
    </row>
    <row r="16" spans="1:23" ht="72.75" customHeight="1">
      <c r="A16" s="166" t="s">
        <v>156</v>
      </c>
      <c r="B16" s="167" t="s">
        <v>148</v>
      </c>
      <c r="C16" s="167" t="s">
        <v>116</v>
      </c>
      <c r="D16" s="168" t="s">
        <v>149</v>
      </c>
      <c r="E16" s="169" t="s">
        <v>164</v>
      </c>
      <c r="F16" s="170" t="s">
        <v>150</v>
      </c>
      <c r="G16" s="170" t="s">
        <v>151</v>
      </c>
      <c r="I16" s="171" t="s">
        <v>163</v>
      </c>
      <c r="J16" s="172" t="s">
        <v>268</v>
      </c>
      <c r="K16" s="171" t="s">
        <v>179</v>
      </c>
      <c r="L16" s="171" t="s">
        <v>165</v>
      </c>
      <c r="M16" s="171"/>
      <c r="N16" s="172" t="s">
        <v>152</v>
      </c>
      <c r="O16" s="172" t="s">
        <v>153</v>
      </c>
      <c r="P16" s="173" t="s">
        <v>154</v>
      </c>
      <c r="Q16" s="173" t="s">
        <v>155</v>
      </c>
      <c r="R16" s="169" t="s">
        <v>181</v>
      </c>
      <c r="T16" s="651"/>
      <c r="V16" s="174" t="s">
        <v>170</v>
      </c>
    </row>
    <row r="17" spans="1:23">
      <c r="B17" s="157"/>
      <c r="C17" s="157"/>
      <c r="E17" s="175"/>
      <c r="F17" s="175"/>
      <c r="G17" s="175"/>
      <c r="I17" s="175"/>
      <c r="J17" s="175"/>
      <c r="K17" s="175"/>
      <c r="L17" s="175"/>
      <c r="M17" s="175"/>
      <c r="N17" s="175"/>
      <c r="O17" s="175"/>
      <c r="P17" s="175"/>
      <c r="Q17" s="175"/>
      <c r="R17" s="175"/>
      <c r="T17" s="175"/>
      <c r="V17" s="176"/>
    </row>
    <row r="18" spans="1:23">
      <c r="A18" s="155" t="s">
        <v>194</v>
      </c>
      <c r="B18" s="153" t="s">
        <v>182</v>
      </c>
      <c r="C18" s="177" t="str">
        <f t="shared" ref="C18:F37" ca="1" si="0">INDIRECT("'"&amp; $A18 &amp; "'!" &amp;C$46)</f>
        <v>Snyder 138 kV Terminal Addition</v>
      </c>
      <c r="D18" s="178">
        <f t="shared" ca="1" si="0"/>
        <v>2010</v>
      </c>
      <c r="E18" s="179">
        <v>0</v>
      </c>
      <c r="F18" s="180">
        <f t="shared" ca="1" si="0"/>
        <v>0</v>
      </c>
      <c r="G18" s="180">
        <f t="shared" ref="G18:G23" ca="1" si="1">+E18+F18</f>
        <v>0</v>
      </c>
      <c r="H18" s="181"/>
      <c r="I18" s="182">
        <f t="shared" ref="I18:I37" ca="1" si="2">INDIRECT("'"&amp; $A18 &amp; "'!" &amp;I$46)</f>
        <v>9278.930504383985</v>
      </c>
      <c r="J18" s="183">
        <v>78497.786280938177</v>
      </c>
      <c r="K18" s="183">
        <f>J18/(J$39)*K$39</f>
        <v>83344.33808751106</v>
      </c>
      <c r="L18" s="179">
        <f t="shared" ref="L18:L23" si="3">+J18-K18</f>
        <v>-4846.5518065728829</v>
      </c>
      <c r="M18" s="179"/>
      <c r="N18" s="180">
        <v>0</v>
      </c>
      <c r="O18" s="180">
        <v>0</v>
      </c>
      <c r="P18" s="180"/>
      <c r="Q18" s="183">
        <f ca="1">+V18/$V$39 * $Q$39</f>
        <v>376.90016925231225</v>
      </c>
      <c r="R18" s="184">
        <f ca="1">I18+L18+P18+Q18</f>
        <v>4809.2788670634145</v>
      </c>
      <c r="S18" s="184"/>
      <c r="T18" s="185">
        <f t="shared" ref="T18:T23" ca="1" si="4">+G18+R18</f>
        <v>4809.2788670634145</v>
      </c>
      <c r="V18" s="186">
        <f t="shared" ref="V18:V23" ca="1" si="5">+I18+L18+P18</f>
        <v>4432.378697811102</v>
      </c>
      <c r="W18" s="145" t="str">
        <f t="shared" ref="W18:W23" si="6">A18</f>
        <v>OKT.001</v>
      </c>
    </row>
    <row r="19" spans="1:23" ht="25.5">
      <c r="A19" s="155" t="s">
        <v>195</v>
      </c>
      <c r="B19" s="153" t="s">
        <v>182</v>
      </c>
      <c r="C19" s="177" t="str">
        <f t="shared" ca="1" si="0"/>
        <v>Coffeyville T to Dearing 138 kV Rebuild - 1.1 miles</v>
      </c>
      <c r="D19" s="178">
        <f t="shared" ca="1" si="0"/>
        <v>2010</v>
      </c>
      <c r="E19" s="179">
        <v>0</v>
      </c>
      <c r="F19" s="180">
        <f t="shared" ca="1" si="0"/>
        <v>0</v>
      </c>
      <c r="G19" s="180">
        <f t="shared" ca="1" si="1"/>
        <v>0</v>
      </c>
      <c r="H19" s="181"/>
      <c r="I19" s="182">
        <f t="shared" ca="1" si="2"/>
        <v>12790.14742043367</v>
      </c>
      <c r="J19" s="183">
        <v>106001.44399426514</v>
      </c>
      <c r="K19" s="183">
        <f>J19/(J$39)*K$39</f>
        <v>112546.10613353993</v>
      </c>
      <c r="L19" s="179">
        <f t="shared" si="3"/>
        <v>-6544.6621392747911</v>
      </c>
      <c r="M19" s="179"/>
      <c r="N19" s="180">
        <v>0</v>
      </c>
      <c r="O19" s="180">
        <v>0</v>
      </c>
      <c r="P19" s="180"/>
      <c r="Q19" s="183">
        <f t="shared" ref="Q19:Q35" ca="1" si="7">+V19/$V$39 * $Q$39</f>
        <v>531.07476143545114</v>
      </c>
      <c r="R19" s="184">
        <f t="shared" ref="R19:R23" ca="1" si="8">I19+L19+P19+Q19</f>
        <v>6776.5600425943303</v>
      </c>
      <c r="S19" s="184"/>
      <c r="T19" s="187">
        <f t="shared" ca="1" si="4"/>
        <v>6776.5600425943303</v>
      </c>
      <c r="V19" s="186">
        <f t="shared" ca="1" si="5"/>
        <v>6245.4852811588789</v>
      </c>
      <c r="W19" s="145" t="str">
        <f t="shared" si="6"/>
        <v>OKT.002</v>
      </c>
    </row>
    <row r="20" spans="1:23">
      <c r="A20" s="155" t="s">
        <v>202</v>
      </c>
      <c r="B20" s="153" t="s">
        <v>182</v>
      </c>
      <c r="C20" s="177" t="str">
        <f t="shared" ca="1" si="0"/>
        <v>Tulsa Power Station Reactor</v>
      </c>
      <c r="D20" s="178">
        <f t="shared" ca="1" si="0"/>
        <v>2011</v>
      </c>
      <c r="E20" s="179">
        <v>0</v>
      </c>
      <c r="F20" s="180">
        <f t="shared" ca="1" si="0"/>
        <v>0</v>
      </c>
      <c r="G20" s="180">
        <f t="shared" ca="1" si="1"/>
        <v>0</v>
      </c>
      <c r="H20" s="181"/>
      <c r="I20" s="182">
        <f t="shared" ca="1" si="2"/>
        <v>8060.3037322083692</v>
      </c>
      <c r="J20" s="183">
        <v>67559.957362887013</v>
      </c>
      <c r="K20" s="183">
        <f>J20/(J$39)*K$39</f>
        <v>71731.193889701011</v>
      </c>
      <c r="L20" s="179">
        <f t="shared" si="3"/>
        <v>-4171.2365268139984</v>
      </c>
      <c r="M20" s="179"/>
      <c r="N20" s="180">
        <v>0</v>
      </c>
      <c r="O20" s="180">
        <v>0</v>
      </c>
      <c r="P20" s="180"/>
      <c r="Q20" s="183">
        <f t="shared" ca="1" si="7"/>
        <v>330.70055333282448</v>
      </c>
      <c r="R20" s="184">
        <f t="shared" ca="1" si="8"/>
        <v>4219.7677587271955</v>
      </c>
      <c r="S20" s="184"/>
      <c r="T20" s="187">
        <f t="shared" ca="1" si="4"/>
        <v>4219.7677587271955</v>
      </c>
      <c r="V20" s="186">
        <f t="shared" ca="1" si="5"/>
        <v>3889.0672053943708</v>
      </c>
      <c r="W20" s="145" t="str">
        <f t="shared" si="6"/>
        <v>OKT.003</v>
      </c>
    </row>
    <row r="21" spans="1:23">
      <c r="A21" s="155" t="s">
        <v>203</v>
      </c>
      <c r="B21" s="153" t="s">
        <v>182</v>
      </c>
      <c r="C21" s="177" t="str">
        <f t="shared" ca="1" si="0"/>
        <v xml:space="preserve">Bartlesville SE to Coffeyville T Rebuild </v>
      </c>
      <c r="D21" s="178">
        <f t="shared" ca="1" si="0"/>
        <v>2011</v>
      </c>
      <c r="E21" s="179">
        <v>0</v>
      </c>
      <c r="F21" s="180">
        <f t="shared" ca="1" si="0"/>
        <v>0</v>
      </c>
      <c r="G21" s="180">
        <f t="shared" ca="1" si="1"/>
        <v>0</v>
      </c>
      <c r="H21" s="181"/>
      <c r="I21" s="182">
        <f t="shared" ca="1" si="2"/>
        <v>136876.06807061355</v>
      </c>
      <c r="J21" s="183">
        <v>1201878.8753425444</v>
      </c>
      <c r="K21" s="183">
        <f>J21/(J$39)*K$39</f>
        <v>1276084.384956867</v>
      </c>
      <c r="L21" s="179">
        <f t="shared" si="3"/>
        <v>-74205.509614322567</v>
      </c>
      <c r="M21" s="179"/>
      <c r="N21" s="180">
        <v>0</v>
      </c>
      <c r="O21" s="180">
        <v>0</v>
      </c>
      <c r="P21" s="180"/>
      <c r="Q21" s="183">
        <f t="shared" ca="1" si="7"/>
        <v>5329.0897957292855</v>
      </c>
      <c r="R21" s="184">
        <f t="shared" ca="1" si="8"/>
        <v>67999.64825202027</v>
      </c>
      <c r="S21" s="184"/>
      <c r="T21" s="187">
        <f t="shared" ca="1" si="4"/>
        <v>67999.64825202027</v>
      </c>
      <c r="V21" s="186">
        <f t="shared" ca="1" si="5"/>
        <v>62670.558456290979</v>
      </c>
      <c r="W21" s="145" t="str">
        <f t="shared" si="6"/>
        <v>OKT.004</v>
      </c>
    </row>
    <row r="22" spans="1:23">
      <c r="A22" s="155" t="s">
        <v>207</v>
      </c>
      <c r="B22" s="153" t="s">
        <v>182</v>
      </c>
      <c r="C22" s="177" t="str">
        <f t="shared" ca="1" si="0"/>
        <v>Install 345kV terminal at Valliant***</v>
      </c>
      <c r="D22" s="178">
        <f t="shared" ca="1" si="0"/>
        <v>2012</v>
      </c>
      <c r="E22" s="179">
        <v>0</v>
      </c>
      <c r="F22" s="180">
        <f t="shared" ca="1" si="0"/>
        <v>0</v>
      </c>
      <c r="G22" s="180">
        <f t="shared" ca="1" si="1"/>
        <v>0</v>
      </c>
      <c r="H22" s="181"/>
      <c r="I22" s="182">
        <f t="shared" ca="1" si="2"/>
        <v>0</v>
      </c>
      <c r="J22" s="183">
        <v>0</v>
      </c>
      <c r="K22" s="183">
        <v>0</v>
      </c>
      <c r="L22" s="179">
        <f t="shared" si="3"/>
        <v>0</v>
      </c>
      <c r="M22" s="179"/>
      <c r="N22" s="180">
        <v>0</v>
      </c>
      <c r="O22" s="180">
        <v>0</v>
      </c>
      <c r="P22" s="180"/>
      <c r="Q22" s="183">
        <f t="shared" ca="1" si="7"/>
        <v>0</v>
      </c>
      <c r="R22" s="184">
        <f t="shared" ca="1" si="8"/>
        <v>0</v>
      </c>
      <c r="S22" s="184"/>
      <c r="T22" s="187">
        <f t="shared" ca="1" si="4"/>
        <v>0</v>
      </c>
      <c r="V22" s="186">
        <f t="shared" ca="1" si="5"/>
        <v>0</v>
      </c>
      <c r="W22" s="145" t="str">
        <f t="shared" si="6"/>
        <v>OKT.005</v>
      </c>
    </row>
    <row r="23" spans="1:23" ht="25.5">
      <c r="A23" s="155" t="s">
        <v>208</v>
      </c>
      <c r="B23" s="153" t="s">
        <v>182</v>
      </c>
      <c r="C23" s="177" t="str">
        <f t="shared" ca="1" si="0"/>
        <v xml:space="preserve">Canadian River - McAlester City 138 kV Line Conversion </v>
      </c>
      <c r="D23" s="178">
        <f t="shared" ca="1" si="0"/>
        <v>2013</v>
      </c>
      <c r="E23" s="179">
        <v>0</v>
      </c>
      <c r="F23" s="180">
        <f t="shared" ca="1" si="0"/>
        <v>0</v>
      </c>
      <c r="G23" s="180">
        <f t="shared" ca="1" si="1"/>
        <v>0</v>
      </c>
      <c r="H23" s="181"/>
      <c r="I23" s="182">
        <f t="shared" ca="1" si="2"/>
        <v>386742.74065592466</v>
      </c>
      <c r="J23" s="183">
        <v>3280702.7567494931</v>
      </c>
      <c r="K23" s="183">
        <f t="shared" ref="K23:K37" si="9">J23/(J$39)*K$39</f>
        <v>3483257.4608483776</v>
      </c>
      <c r="L23" s="179">
        <f t="shared" si="3"/>
        <v>-202554.70409888448</v>
      </c>
      <c r="M23" s="179"/>
      <c r="N23" s="180">
        <v>0</v>
      </c>
      <c r="O23" s="180">
        <v>0</v>
      </c>
      <c r="P23" s="180"/>
      <c r="Q23" s="183">
        <f t="shared" ca="1" si="7"/>
        <v>15662.132431708133</v>
      </c>
      <c r="R23" s="184">
        <f t="shared" ca="1" si="8"/>
        <v>199850.16898874831</v>
      </c>
      <c r="S23" s="184"/>
      <c r="T23" s="187">
        <f t="shared" ca="1" si="4"/>
        <v>199850.16898874831</v>
      </c>
      <c r="V23" s="186">
        <f t="shared" ca="1" si="5"/>
        <v>184188.03655704018</v>
      </c>
      <c r="W23" s="145" t="str">
        <f t="shared" si="6"/>
        <v>OKT.006</v>
      </c>
    </row>
    <row r="24" spans="1:23">
      <c r="A24" s="155" t="s">
        <v>216</v>
      </c>
      <c r="B24" s="153" t="s">
        <v>182</v>
      </c>
      <c r="C24" s="177" t="str">
        <f t="shared" ca="1" si="0"/>
        <v xml:space="preserve">Cornville Station Conversion </v>
      </c>
      <c r="D24" s="178">
        <f t="shared" ca="1" si="0"/>
        <v>2014</v>
      </c>
      <c r="E24" s="179">
        <v>0</v>
      </c>
      <c r="F24" s="180">
        <f t="shared" ca="1" si="0"/>
        <v>0</v>
      </c>
      <c r="G24" s="180">
        <f t="shared" ref="G24:G30" ca="1" si="10">+E24+F24</f>
        <v>0</v>
      </c>
      <c r="H24" s="181"/>
      <c r="I24" s="182">
        <f t="shared" ca="1" si="2"/>
        <v>139703.6968414369</v>
      </c>
      <c r="J24" s="183">
        <v>1170181.905382646</v>
      </c>
      <c r="K24" s="183">
        <f t="shared" si="9"/>
        <v>1242430.4043053268</v>
      </c>
      <c r="L24" s="179">
        <f t="shared" ref="L24:L30" si="11">+J24-K24</f>
        <v>-72248.498922680737</v>
      </c>
      <c r="M24" s="179"/>
      <c r="N24" s="180">
        <v>0</v>
      </c>
      <c r="O24" s="180">
        <v>0</v>
      </c>
      <c r="P24" s="180"/>
      <c r="Q24" s="183">
        <f t="shared" ca="1" si="7"/>
        <v>5735.9438905982506</v>
      </c>
      <c r="R24" s="184">
        <f t="shared" ref="R24:R30" ca="1" si="12">I24+L24+P24+Q24</f>
        <v>73191.14180935442</v>
      </c>
      <c r="S24" s="184"/>
      <c r="T24" s="187">
        <f t="shared" ref="T24:T30" ca="1" si="13">+G24+R24</f>
        <v>73191.14180935442</v>
      </c>
      <c r="V24" s="186">
        <f t="shared" ref="V24:V30" ca="1" si="14">+I24+L24+P24</f>
        <v>67455.197918756166</v>
      </c>
      <c r="W24" s="145" t="str">
        <f t="shared" ref="W24:W30" si="15">A24</f>
        <v>OKT.007</v>
      </c>
    </row>
    <row r="25" spans="1:23">
      <c r="A25" s="155" t="s">
        <v>217</v>
      </c>
      <c r="B25" s="153" t="s">
        <v>182</v>
      </c>
      <c r="C25" s="177" t="str">
        <f t="shared" ca="1" si="0"/>
        <v>Coweta 69 kV Capacitor</v>
      </c>
      <c r="D25" s="178">
        <f t="shared" ca="1" si="0"/>
        <v>2014</v>
      </c>
      <c r="E25" s="188">
        <v>0</v>
      </c>
      <c r="F25" s="189">
        <f t="shared" ca="1" si="0"/>
        <v>0</v>
      </c>
      <c r="G25" s="189">
        <f t="shared" ca="1" si="10"/>
        <v>0</v>
      </c>
      <c r="H25" s="190"/>
      <c r="I25" s="182">
        <f t="shared" ca="1" si="2"/>
        <v>24265.859817330085</v>
      </c>
      <c r="J25" s="183">
        <v>213594.1551731409</v>
      </c>
      <c r="K25" s="183">
        <f t="shared" si="9"/>
        <v>226781.72628403699</v>
      </c>
      <c r="L25" s="188">
        <f t="shared" si="11"/>
        <v>-13187.571110896097</v>
      </c>
      <c r="M25" s="188"/>
      <c r="N25" s="189">
        <v>0</v>
      </c>
      <c r="O25" s="189">
        <v>0</v>
      </c>
      <c r="P25" s="180"/>
      <c r="Q25" s="191">
        <f t="shared" ca="1" si="7"/>
        <v>942.02440115122499</v>
      </c>
      <c r="R25" s="192">
        <f t="shared" ca="1" si="12"/>
        <v>12020.313107585214</v>
      </c>
      <c r="S25" s="192"/>
      <c r="T25" s="193">
        <f t="shared" ca="1" si="13"/>
        <v>12020.313107585214</v>
      </c>
      <c r="V25" s="186">
        <f ca="1">+I25+L25+P25</f>
        <v>11078.288706433988</v>
      </c>
      <c r="W25" s="145" t="str">
        <f t="shared" si="15"/>
        <v>OKT.008</v>
      </c>
    </row>
    <row r="26" spans="1:23">
      <c r="A26" s="194" t="s">
        <v>225</v>
      </c>
      <c r="B26" s="153" t="s">
        <v>182</v>
      </c>
      <c r="C26" s="177" t="str">
        <f t="shared" ca="1" si="0"/>
        <v>Prattville-Bluebell 138 kV</v>
      </c>
      <c r="D26" s="178">
        <f t="shared" ca="1" si="0"/>
        <v>2015</v>
      </c>
      <c r="E26" s="188">
        <v>0</v>
      </c>
      <c r="F26" s="189">
        <f t="shared" ca="1" si="0"/>
        <v>0</v>
      </c>
      <c r="G26" s="189">
        <f t="shared" ca="1" si="10"/>
        <v>0</v>
      </c>
      <c r="H26" s="190"/>
      <c r="I26" s="182">
        <f t="shared" ca="1" si="2"/>
        <v>117706.88519105804</v>
      </c>
      <c r="J26" s="183">
        <v>994017.32677052985</v>
      </c>
      <c r="K26" s="183">
        <f t="shared" si="9"/>
        <v>1055389.2035975116</v>
      </c>
      <c r="L26" s="188">
        <f t="shared" si="11"/>
        <v>-61371.876826981781</v>
      </c>
      <c r="M26" s="188"/>
      <c r="N26" s="189">
        <v>0</v>
      </c>
      <c r="O26" s="189">
        <v>0</v>
      </c>
      <c r="P26" s="180"/>
      <c r="Q26" s="191">
        <f t="shared" ca="1" si="7"/>
        <v>4790.3565184392692</v>
      </c>
      <c r="R26" s="192">
        <f t="shared" ca="1" si="12"/>
        <v>61125.364882515532</v>
      </c>
      <c r="S26" s="192"/>
      <c r="T26" s="193">
        <f t="shared" ca="1" si="13"/>
        <v>61125.364882515532</v>
      </c>
      <c r="V26" s="186">
        <f t="shared" ca="1" si="14"/>
        <v>56335.00836407626</v>
      </c>
      <c r="W26" s="145" t="str">
        <f t="shared" si="15"/>
        <v>OKT.009</v>
      </c>
    </row>
    <row r="27" spans="1:23">
      <c r="A27" s="194" t="s">
        <v>226</v>
      </c>
      <c r="B27" s="153" t="s">
        <v>182</v>
      </c>
      <c r="C27" s="177" t="str">
        <f t="shared" ca="1" si="0"/>
        <v>Wapanucka Customer Connection</v>
      </c>
      <c r="D27" s="178">
        <f t="shared" ca="1" si="0"/>
        <v>2013</v>
      </c>
      <c r="E27" s="188">
        <v>0</v>
      </c>
      <c r="F27" s="189">
        <f t="shared" ca="1" si="0"/>
        <v>0</v>
      </c>
      <c r="G27" s="189">
        <f t="shared" ca="1" si="10"/>
        <v>0</v>
      </c>
      <c r="H27" s="190"/>
      <c r="I27" s="182">
        <f t="shared" ca="1" si="2"/>
        <v>112205.90220596024</v>
      </c>
      <c r="J27" s="183">
        <v>833688.21035552747</v>
      </c>
      <c r="K27" s="183">
        <f t="shared" si="9"/>
        <v>885161.16638968093</v>
      </c>
      <c r="L27" s="188">
        <f t="shared" si="11"/>
        <v>-51472.956034153467</v>
      </c>
      <c r="M27" s="188"/>
      <c r="N27" s="189">
        <v>0</v>
      </c>
      <c r="O27" s="189">
        <v>0</v>
      </c>
      <c r="P27" s="180"/>
      <c r="Q27" s="191">
        <f t="shared" ca="1" si="7"/>
        <v>5164.3280621869544</v>
      </c>
      <c r="R27" s="192">
        <f t="shared" ca="1" si="12"/>
        <v>65897.274233993725</v>
      </c>
      <c r="S27" s="192"/>
      <c r="T27" s="193">
        <f t="shared" ca="1" si="13"/>
        <v>65897.274233993725</v>
      </c>
      <c r="V27" s="186">
        <f t="shared" ca="1" si="14"/>
        <v>60732.946171806776</v>
      </c>
      <c r="W27" s="145" t="str">
        <f t="shared" si="15"/>
        <v>OKT.010</v>
      </c>
    </row>
    <row r="28" spans="1:23">
      <c r="A28" s="194" t="s">
        <v>227</v>
      </c>
      <c r="B28" s="153" t="s">
        <v>182</v>
      </c>
      <c r="C28" s="177" t="str">
        <f t="shared" ca="1" si="0"/>
        <v>Grady Customer Connection</v>
      </c>
      <c r="D28" s="178">
        <f t="shared" ca="1" si="0"/>
        <v>2014</v>
      </c>
      <c r="E28" s="188">
        <v>0</v>
      </c>
      <c r="F28" s="189">
        <f t="shared" ca="1" si="0"/>
        <v>0</v>
      </c>
      <c r="G28" s="189">
        <f t="shared" ca="1" si="10"/>
        <v>0</v>
      </c>
      <c r="H28" s="190"/>
      <c r="I28" s="182">
        <f t="shared" ca="1" si="2"/>
        <v>278475.79270382505</v>
      </c>
      <c r="J28" s="183">
        <v>2338500.3407404553</v>
      </c>
      <c r="K28" s="183">
        <f t="shared" si="9"/>
        <v>2482882.2856086148</v>
      </c>
      <c r="L28" s="188">
        <f t="shared" si="11"/>
        <v>-144381.94486815948</v>
      </c>
      <c r="M28" s="188"/>
      <c r="N28" s="189">
        <v>0</v>
      </c>
      <c r="O28" s="189">
        <v>0</v>
      </c>
      <c r="P28" s="180"/>
      <c r="Q28" s="191">
        <f t="shared" ca="1" si="7"/>
        <v>11402.453939667874</v>
      </c>
      <c r="R28" s="192">
        <f t="shared" ca="1" si="12"/>
        <v>145496.30177533344</v>
      </c>
      <c r="S28" s="192"/>
      <c r="T28" s="193">
        <f t="shared" ca="1" si="13"/>
        <v>145496.30177533344</v>
      </c>
      <c r="V28" s="186">
        <f t="shared" ca="1" si="14"/>
        <v>134093.84783566557</v>
      </c>
      <c r="W28" s="145" t="str">
        <f t="shared" si="15"/>
        <v>OKT.011</v>
      </c>
    </row>
    <row r="29" spans="1:23">
      <c r="A29" s="194" t="s">
        <v>228</v>
      </c>
      <c r="B29" s="153" t="s">
        <v>182</v>
      </c>
      <c r="C29" s="177" t="str">
        <f t="shared" ca="1" si="0"/>
        <v>Darlington-Red Rock 138 kV line</v>
      </c>
      <c r="D29" s="178">
        <f t="shared" ca="1" si="0"/>
        <v>2014</v>
      </c>
      <c r="E29" s="188">
        <v>0</v>
      </c>
      <c r="F29" s="189">
        <f t="shared" ca="1" si="0"/>
        <v>0</v>
      </c>
      <c r="G29" s="189">
        <f t="shared" ca="1" si="10"/>
        <v>0</v>
      </c>
      <c r="H29" s="190"/>
      <c r="I29" s="182">
        <f t="shared" ca="1" si="2"/>
        <v>210779.45665789791</v>
      </c>
      <c r="J29" s="183">
        <v>1528460.5946359804</v>
      </c>
      <c r="K29" s="183">
        <f t="shared" si="9"/>
        <v>1622829.6693216872</v>
      </c>
      <c r="L29" s="188">
        <f t="shared" si="11"/>
        <v>-94369.074685706757</v>
      </c>
      <c r="M29" s="188"/>
      <c r="N29" s="189">
        <v>0</v>
      </c>
      <c r="O29" s="189">
        <v>0</v>
      </c>
      <c r="P29" s="180"/>
      <c r="Q29" s="191">
        <f t="shared" ca="1" si="7"/>
        <v>9898.7689589142192</v>
      </c>
      <c r="R29" s="192">
        <f t="shared" ca="1" si="12"/>
        <v>126309.15093110538</v>
      </c>
      <c r="S29" s="192"/>
      <c r="T29" s="193">
        <f t="shared" ca="1" si="13"/>
        <v>126309.15093110538</v>
      </c>
      <c r="V29" s="186">
        <f t="shared" ca="1" si="14"/>
        <v>116410.38197219116</v>
      </c>
      <c r="W29" s="145" t="str">
        <f t="shared" si="15"/>
        <v>OKT.012</v>
      </c>
    </row>
    <row r="30" spans="1:23">
      <c r="A30" s="194" t="s">
        <v>233</v>
      </c>
      <c r="B30" s="153" t="s">
        <v>182</v>
      </c>
      <c r="C30" s="177" t="str">
        <f t="shared" ca="1" si="0"/>
        <v>Ellis 138 kV</v>
      </c>
      <c r="D30" s="178">
        <f t="shared" ca="1" si="0"/>
        <v>2013</v>
      </c>
      <c r="E30" s="188">
        <v>0</v>
      </c>
      <c r="F30" s="189">
        <f t="shared" ca="1" si="0"/>
        <v>0</v>
      </c>
      <c r="G30" s="189">
        <f t="shared" ca="1" si="10"/>
        <v>0</v>
      </c>
      <c r="H30" s="190"/>
      <c r="I30" s="182">
        <f t="shared" ca="1" si="2"/>
        <v>0</v>
      </c>
      <c r="J30" s="183">
        <v>656400.0209853712</v>
      </c>
      <c r="K30" s="183">
        <f t="shared" si="9"/>
        <v>696926.98178596713</v>
      </c>
      <c r="L30" s="188">
        <f t="shared" si="11"/>
        <v>-40526.960800595931</v>
      </c>
      <c r="M30" s="188"/>
      <c r="N30" s="189">
        <v>0</v>
      </c>
      <c r="O30" s="189">
        <v>0</v>
      </c>
      <c r="P30" s="180"/>
      <c r="Q30" s="191">
        <f t="shared" ca="1" si="7"/>
        <v>-3446.1447061302974</v>
      </c>
      <c r="R30" s="192">
        <f t="shared" ca="1" si="12"/>
        <v>-43973.105506726228</v>
      </c>
      <c r="S30" s="192"/>
      <c r="T30" s="193">
        <f t="shared" ca="1" si="13"/>
        <v>-43973.105506726228</v>
      </c>
      <c r="V30" s="186">
        <f t="shared" ca="1" si="14"/>
        <v>-40526.960800595931</v>
      </c>
      <c r="W30" s="145" t="str">
        <f t="shared" si="15"/>
        <v>OKT.013</v>
      </c>
    </row>
    <row r="31" spans="1:23">
      <c r="A31" s="194" t="s">
        <v>236</v>
      </c>
      <c r="B31" s="153" t="s">
        <v>182</v>
      </c>
      <c r="C31" s="177" t="str">
        <f t="shared" ca="1" si="0"/>
        <v>Valliant-NW Texarkana 345 kV</v>
      </c>
      <c r="D31" s="178">
        <f t="shared" ca="1" si="0"/>
        <v>2016</v>
      </c>
      <c r="E31" s="188">
        <v>0</v>
      </c>
      <c r="F31" s="189">
        <f t="shared" ca="1" si="0"/>
        <v>0</v>
      </c>
      <c r="G31" s="189">
        <f ca="1">+E31+F31</f>
        <v>0</v>
      </c>
      <c r="H31" s="190"/>
      <c r="I31" s="182">
        <f t="shared" ca="1" si="2"/>
        <v>790960.30416386016</v>
      </c>
      <c r="J31" s="183">
        <v>7789820.6885358188</v>
      </c>
      <c r="K31" s="183">
        <f t="shared" si="9"/>
        <v>8270773.9907828914</v>
      </c>
      <c r="L31" s="188">
        <f t="shared" ref="L31:L37" si="16">+J31-K31</f>
        <v>-480953.30224707257</v>
      </c>
      <c r="M31" s="188"/>
      <c r="N31" s="189">
        <v>0</v>
      </c>
      <c r="O31" s="189">
        <v>0</v>
      </c>
      <c r="P31" s="180"/>
      <c r="Q31" s="191">
        <f t="shared" ca="1" si="7"/>
        <v>26360.945094682582</v>
      </c>
      <c r="R31" s="192">
        <f t="shared" ref="R31:R37" ca="1" si="17">I31+L31+P31+Q31</f>
        <v>336367.94701147015</v>
      </c>
      <c r="S31" s="192"/>
      <c r="T31" s="193">
        <f t="shared" ref="T31:T37" ca="1" si="18">+G31+R31</f>
        <v>336367.94701147015</v>
      </c>
      <c r="V31" s="186">
        <f t="shared" ref="V31:V37" ca="1" si="19">+I31+L31+P31</f>
        <v>310007.00191678759</v>
      </c>
      <c r="W31" s="145" t="str">
        <f t="shared" ref="W31:W36" si="20">A31</f>
        <v>OKT.014</v>
      </c>
    </row>
    <row r="32" spans="1:23">
      <c r="A32" s="194" t="s">
        <v>239</v>
      </c>
      <c r="B32" s="153" t="s">
        <v>182</v>
      </c>
      <c r="C32" s="177" t="str">
        <f t="shared" ca="1" si="0"/>
        <v>Darlington Roman Nose 138 kv</v>
      </c>
      <c r="D32" s="178">
        <f t="shared" ca="1" si="0"/>
        <v>2017</v>
      </c>
      <c r="E32" s="188">
        <v>0</v>
      </c>
      <c r="F32" s="189">
        <f t="shared" ca="1" si="0"/>
        <v>0</v>
      </c>
      <c r="G32" s="189">
        <f ca="1">+E32+F32</f>
        <v>0</v>
      </c>
      <c r="H32" s="190"/>
      <c r="I32" s="182">
        <f t="shared" ca="1" si="2"/>
        <v>160211.8080125195</v>
      </c>
      <c r="J32" s="183">
        <v>1426498.2332866911</v>
      </c>
      <c r="K32" s="183">
        <f t="shared" si="9"/>
        <v>1514572.0238629675</v>
      </c>
      <c r="L32" s="188">
        <f t="shared" si="16"/>
        <v>-88073.790576276369</v>
      </c>
      <c r="M32" s="188"/>
      <c r="N32" s="189">
        <v>0</v>
      </c>
      <c r="O32" s="189">
        <v>0</v>
      </c>
      <c r="P32" s="180"/>
      <c r="Q32" s="191">
        <f t="shared" ca="1" si="7"/>
        <v>6134.1398907709072</v>
      </c>
      <c r="R32" s="192">
        <f t="shared" ca="1" si="17"/>
        <v>78272.157327014036</v>
      </c>
      <c r="S32" s="192"/>
      <c r="T32" s="193">
        <f t="shared" ca="1" si="18"/>
        <v>78272.157327014036</v>
      </c>
      <c r="V32" s="186">
        <f t="shared" ca="1" si="19"/>
        <v>72138.017436243128</v>
      </c>
      <c r="W32" s="145" t="str">
        <f t="shared" si="20"/>
        <v>OKT.015</v>
      </c>
    </row>
    <row r="33" spans="1:23">
      <c r="A33" s="194" t="s">
        <v>248</v>
      </c>
      <c r="B33" s="153" t="s">
        <v>182</v>
      </c>
      <c r="C33" s="177" t="str">
        <f t="shared" ca="1" si="0"/>
        <v>Carnegie South-Southwestern 123 kv line rebuild</v>
      </c>
      <c r="D33" s="178">
        <f t="shared" ca="1" si="0"/>
        <v>2017</v>
      </c>
      <c r="E33" s="188">
        <v>0</v>
      </c>
      <c r="F33" s="189">
        <f t="shared" ca="1" si="0"/>
        <v>0</v>
      </c>
      <c r="G33" s="189">
        <f ca="1">+E33+F33</f>
        <v>0</v>
      </c>
      <c r="H33" s="190"/>
      <c r="I33" s="182">
        <f t="shared" ca="1" si="2"/>
        <v>137364.11944890535</v>
      </c>
      <c r="J33" s="183">
        <v>1297178.8204874196</v>
      </c>
      <c r="K33" s="183">
        <f>J33/(J$39)*K$39</f>
        <v>1377268.2682761918</v>
      </c>
      <c r="L33" s="188">
        <f t="shared" si="16"/>
        <v>-80089.447788772173</v>
      </c>
      <c r="M33" s="188"/>
      <c r="N33" s="189">
        <v>0</v>
      </c>
      <c r="O33" s="189">
        <v>0</v>
      </c>
      <c r="P33" s="180"/>
      <c r="Q33" s="191">
        <f t="shared" ca="1" si="7"/>
        <v>4870.259270318059</v>
      </c>
      <c r="R33" s="192">
        <f t="shared" ca="1" si="17"/>
        <v>62144.930930451228</v>
      </c>
      <c r="S33" s="192"/>
      <c r="T33" s="193">
        <f t="shared" ca="1" si="18"/>
        <v>62144.930930451228</v>
      </c>
      <c r="V33" s="186">
        <f t="shared" ca="1" si="19"/>
        <v>57274.671660133172</v>
      </c>
      <c r="W33" s="145" t="str">
        <f t="shared" si="20"/>
        <v>OKT.016</v>
      </c>
    </row>
    <row r="34" spans="1:23">
      <c r="A34" s="194" t="s">
        <v>249</v>
      </c>
      <c r="B34" s="153" t="s">
        <v>182</v>
      </c>
      <c r="C34" s="177" t="str">
        <f t="shared" ca="1" si="0"/>
        <v>Chisholm - Gracemont 345 kv line and station</v>
      </c>
      <c r="D34" s="178">
        <f t="shared" ca="1" si="0"/>
        <v>2017</v>
      </c>
      <c r="E34" s="188">
        <v>0</v>
      </c>
      <c r="F34" s="189">
        <f t="shared" ca="1" si="0"/>
        <v>0</v>
      </c>
      <c r="G34" s="189">
        <f ca="1">+E34+F34</f>
        <v>0</v>
      </c>
      <c r="H34" s="190"/>
      <c r="I34" s="182">
        <f t="shared" ca="1" si="2"/>
        <v>1317606.9102831986</v>
      </c>
      <c r="J34" s="183">
        <v>11639848.409582945</v>
      </c>
      <c r="K34" s="183">
        <f t="shared" si="9"/>
        <v>12358507.253487155</v>
      </c>
      <c r="L34" s="188">
        <f t="shared" si="16"/>
        <v>-718658.84390421025</v>
      </c>
      <c r="M34" s="188"/>
      <c r="N34" s="189">
        <v>0</v>
      </c>
      <c r="O34" s="189">
        <v>0</v>
      </c>
      <c r="P34" s="180"/>
      <c r="Q34" s="191">
        <f t="shared" ca="1" si="7"/>
        <v>50930.582195755902</v>
      </c>
      <c r="R34" s="192">
        <f t="shared" ca="1" si="17"/>
        <v>649878.64857474423</v>
      </c>
      <c r="S34" s="192"/>
      <c r="T34" s="193">
        <f t="shared" ca="1" si="18"/>
        <v>649878.64857474423</v>
      </c>
      <c r="V34" s="186">
        <f t="shared" ca="1" si="19"/>
        <v>598948.06637898833</v>
      </c>
      <c r="W34" s="145" t="str">
        <f t="shared" si="20"/>
        <v>OKT.017</v>
      </c>
    </row>
    <row r="35" spans="1:23">
      <c r="A35" s="194" t="s">
        <v>265</v>
      </c>
      <c r="B35" s="153" t="s">
        <v>182</v>
      </c>
      <c r="C35" s="177" t="str">
        <f t="shared" ca="1" si="0"/>
        <v>Fort Towson-Valliant 69 KV Line Rebuild</v>
      </c>
      <c r="D35" s="178">
        <f t="shared" ca="1" si="0"/>
        <v>2018</v>
      </c>
      <c r="E35" s="188">
        <v>0</v>
      </c>
      <c r="F35" s="189">
        <f t="shared" ca="1" si="0"/>
        <v>0</v>
      </c>
      <c r="G35" s="189">
        <f ca="1">+E35+F35</f>
        <v>0</v>
      </c>
      <c r="H35" s="190"/>
      <c r="I35" s="182">
        <f t="shared" ca="1" si="2"/>
        <v>327353.75023308024</v>
      </c>
      <c r="J35" s="183">
        <v>2338588.8143899771</v>
      </c>
      <c r="K35" s="183">
        <f t="shared" si="9"/>
        <v>2482976.2217322551</v>
      </c>
      <c r="L35" s="188">
        <f t="shared" si="16"/>
        <v>-144387.40734227793</v>
      </c>
      <c r="M35" s="188"/>
      <c r="N35" s="189">
        <v>0</v>
      </c>
      <c r="O35" s="189">
        <v>0</v>
      </c>
      <c r="P35" s="180"/>
      <c r="Q35" s="191">
        <f t="shared" ca="1" si="7"/>
        <v>15558.247682463461</v>
      </c>
      <c r="R35" s="192">
        <f t="shared" ca="1" si="17"/>
        <v>198524.59057326577</v>
      </c>
      <c r="S35" s="192"/>
      <c r="T35" s="193">
        <f t="shared" ca="1" si="18"/>
        <v>198524.59057326577</v>
      </c>
      <c r="V35" s="186">
        <f t="shared" ca="1" si="19"/>
        <v>182966.34289080231</v>
      </c>
      <c r="W35" s="145" t="str">
        <f t="shared" si="20"/>
        <v>OKT.018</v>
      </c>
    </row>
    <row r="36" spans="1:23">
      <c r="A36" s="194" t="s">
        <v>289</v>
      </c>
      <c r="B36" s="153" t="s">
        <v>182</v>
      </c>
      <c r="C36" s="177" t="str">
        <f t="shared" ca="1" si="0"/>
        <v>Duncan-Comanche Tap 69 KV Rebuild</v>
      </c>
      <c r="D36" s="178">
        <f t="shared" ca="1" si="0"/>
        <v>2018</v>
      </c>
      <c r="E36" s="188"/>
      <c r="F36" s="189"/>
      <c r="G36" s="189"/>
      <c r="H36" s="190"/>
      <c r="I36" s="182">
        <f t="shared" ca="1" si="2"/>
        <v>121359.05236967094</v>
      </c>
      <c r="J36" s="183">
        <v>1199504.8257104571</v>
      </c>
      <c r="K36" s="183">
        <f t="shared" si="9"/>
        <v>1273563.7585220644</v>
      </c>
      <c r="L36" s="188">
        <f t="shared" si="16"/>
        <v>-74058.932811607374</v>
      </c>
      <c r="M36" s="188"/>
      <c r="N36" s="189">
        <v>0</v>
      </c>
      <c r="O36" s="189">
        <v>0</v>
      </c>
      <c r="P36" s="180"/>
      <c r="Q36" s="191">
        <f ca="1">+V36/$V$39 * $Q$39</f>
        <v>4022.089330023337</v>
      </c>
      <c r="R36" s="192">
        <f t="shared" ca="1" si="17"/>
        <v>51322.208888086905</v>
      </c>
      <c r="S36" s="192"/>
      <c r="T36" s="193">
        <f t="shared" ca="1" si="18"/>
        <v>51322.208888086905</v>
      </c>
      <c r="V36" s="186">
        <f t="shared" ca="1" si="19"/>
        <v>47300.119558063569</v>
      </c>
      <c r="W36" s="145" t="str">
        <f t="shared" si="20"/>
        <v>OKT.019</v>
      </c>
    </row>
    <row r="37" spans="1:23">
      <c r="A37" s="194" t="s">
        <v>293</v>
      </c>
      <c r="B37" s="153" t="s">
        <v>182</v>
      </c>
      <c r="C37" s="177" t="str">
        <f t="shared" ca="1" si="0"/>
        <v>Keystone Dam - Wekiwa 138 kV</v>
      </c>
      <c r="D37" s="178">
        <v>2020</v>
      </c>
      <c r="E37" s="188"/>
      <c r="F37" s="189"/>
      <c r="G37" s="189"/>
      <c r="H37" s="190"/>
      <c r="I37" s="182">
        <f t="shared" ca="1" si="2"/>
        <v>13214.305630475399</v>
      </c>
      <c r="J37" s="183">
        <v>541054.66812252079</v>
      </c>
      <c r="K37" s="183">
        <f t="shared" si="9"/>
        <v>574460.06212763384</v>
      </c>
      <c r="L37" s="188">
        <f t="shared" si="16"/>
        <v>-33405.394005113048</v>
      </c>
      <c r="M37" s="188"/>
      <c r="N37" s="189">
        <v>0</v>
      </c>
      <c r="O37" s="189">
        <v>0</v>
      </c>
      <c r="P37" s="180"/>
      <c r="Q37" s="191">
        <f ca="1">+V37/$V$39 * $Q$39</f>
        <v>-1716.9166139949818</v>
      </c>
      <c r="R37" s="192">
        <f t="shared" ca="1" si="17"/>
        <v>-21908.004988632631</v>
      </c>
      <c r="S37" s="192"/>
      <c r="T37" s="193">
        <f t="shared" ca="1" si="18"/>
        <v>-21908.004988632631</v>
      </c>
      <c r="V37" s="186">
        <f t="shared" ca="1" si="19"/>
        <v>-20191.088374637649</v>
      </c>
      <c r="W37" s="145" t="s">
        <v>293</v>
      </c>
    </row>
    <row r="38" spans="1:23">
      <c r="A38" s="156"/>
      <c r="B38" s="156"/>
      <c r="C38" s="156"/>
      <c r="D38" s="153"/>
      <c r="E38" s="192"/>
      <c r="F38" s="192"/>
      <c r="G38" s="192"/>
      <c r="H38" s="184"/>
      <c r="I38" s="192"/>
      <c r="J38" s="192"/>
      <c r="K38" s="195"/>
      <c r="L38" s="192"/>
      <c r="M38" s="192"/>
      <c r="N38" s="192"/>
      <c r="O38" s="192"/>
      <c r="P38" s="192"/>
      <c r="Q38" s="192"/>
      <c r="R38" s="192"/>
      <c r="S38" s="184"/>
      <c r="T38" s="193"/>
      <c r="V38" s="176"/>
    </row>
    <row r="39" spans="1:23">
      <c r="A39" s="156"/>
      <c r="B39" s="156"/>
      <c r="C39" s="196" t="s">
        <v>183</v>
      </c>
      <c r="D39" s="197"/>
      <c r="E39" s="198">
        <f>SUM(E18:E38)</f>
        <v>0</v>
      </c>
      <c r="F39" s="198">
        <f ca="1">SUM(F18:F38)</f>
        <v>0</v>
      </c>
      <c r="G39" s="198">
        <f ca="1">SUM(G18:G38)</f>
        <v>0</v>
      </c>
      <c r="H39" s="198"/>
      <c r="I39" s="198">
        <f ca="1">SUM(I18:I38)</f>
        <v>4304956.0339427823</v>
      </c>
      <c r="J39" s="198">
        <f>SUM(J18:J38)</f>
        <v>38701977.833889611</v>
      </c>
      <c r="K39" s="643">
        <v>41091486.499999985</v>
      </c>
      <c r="L39" s="198">
        <f>SUM(L18:L38)</f>
        <v>-2389508.6661103731</v>
      </c>
      <c r="M39" s="198"/>
      <c r="N39" s="198">
        <f>SUM(N18:N38)</f>
        <v>0</v>
      </c>
      <c r="O39" s="198">
        <f>SUM(O18:O38)</f>
        <v>0</v>
      </c>
      <c r="P39" s="198">
        <f>SUM(P18:P38)</f>
        <v>0</v>
      </c>
      <c r="Q39" s="199">
        <v>162876.97562630475</v>
      </c>
      <c r="R39" s="198">
        <f ca="1">SUM(R18:R38)</f>
        <v>2078324.3434587149</v>
      </c>
      <c r="S39" s="198"/>
      <c r="T39" s="198">
        <f ca="1">SUM(T18:T38)</f>
        <v>2078324.3434587149</v>
      </c>
      <c r="V39" s="200">
        <f ca="1">SUM(V18:V38)</f>
        <v>1915447.3678324097</v>
      </c>
      <c r="W39" s="201" t="s">
        <v>180</v>
      </c>
    </row>
    <row r="40" spans="1:23" ht="13.5" thickBot="1">
      <c r="A40" s="156"/>
      <c r="B40" s="156"/>
      <c r="C40" s="202"/>
      <c r="D40" s="156"/>
      <c r="E40" s="203"/>
      <c r="F40" s="204" t="str">
        <f ca="1">IF(F39='OKT.WS.F.BPU.ATRR.Projected'!O19,"","Error")</f>
        <v/>
      </c>
      <c r="G40" s="205"/>
      <c r="H40" s="156"/>
      <c r="J40" s="206"/>
      <c r="K40" s="207"/>
      <c r="L40" s="207"/>
      <c r="M40" s="207"/>
      <c r="N40" s="207"/>
      <c r="O40" s="207"/>
      <c r="P40" s="207"/>
      <c r="Q40" s="207"/>
      <c r="R40" s="184"/>
      <c r="S40" s="184"/>
      <c r="T40" s="184"/>
      <c r="V40" s="208"/>
      <c r="W40" s="201"/>
    </row>
    <row r="41" spans="1:23">
      <c r="A41" s="156"/>
      <c r="B41" s="156"/>
      <c r="C41" s="209" t="s">
        <v>212</v>
      </c>
      <c r="D41" s="156"/>
      <c r="E41" s="184"/>
      <c r="F41" s="184"/>
      <c r="G41" s="184"/>
      <c r="H41" s="156"/>
      <c r="I41" s="210"/>
      <c r="J41" s="210"/>
      <c r="K41" s="156" t="s">
        <v>290</v>
      </c>
      <c r="L41" s="156"/>
      <c r="M41" s="156"/>
      <c r="N41" s="207"/>
      <c r="O41" s="207"/>
      <c r="P41" s="207"/>
      <c r="Q41" s="207"/>
      <c r="R41" s="184"/>
      <c r="S41" s="184"/>
      <c r="T41" s="184"/>
    </row>
    <row r="42" spans="1:23">
      <c r="A42" s="156"/>
      <c r="B42" s="156"/>
      <c r="C42" s="211" t="s">
        <v>157</v>
      </c>
      <c r="D42" s="156"/>
      <c r="E42" s="184"/>
      <c r="F42" s="184"/>
      <c r="G42" s="184"/>
      <c r="H42" s="156"/>
      <c r="J42" s="212"/>
      <c r="L42" s="156"/>
      <c r="M42" s="156"/>
      <c r="N42" s="207"/>
      <c r="O42" s="207"/>
      <c r="P42" s="207"/>
      <c r="Q42" s="207"/>
      <c r="R42" s="207"/>
      <c r="S42" s="156"/>
      <c r="T42" s="156"/>
    </row>
    <row r="43" spans="1:23">
      <c r="E43" s="213"/>
      <c r="F43" s="213"/>
      <c r="G43" s="213"/>
      <c r="I43" s="213"/>
      <c r="J43" s="214"/>
      <c r="N43" s="215"/>
      <c r="O43" s="215"/>
      <c r="P43" s="215"/>
      <c r="Q43" s="215"/>
      <c r="R43" s="215"/>
    </row>
    <row r="44" spans="1:23">
      <c r="E44" s="213"/>
      <c r="F44" s="213"/>
      <c r="G44" s="213"/>
    </row>
    <row r="45" spans="1:23">
      <c r="A45" s="216" t="s">
        <v>158</v>
      </c>
      <c r="B45" s="217"/>
      <c r="C45" s="217"/>
      <c r="D45" s="217"/>
      <c r="E45" s="218"/>
      <c r="F45" s="218"/>
      <c r="G45" s="218"/>
      <c r="H45" s="217"/>
      <c r="I45" s="217"/>
      <c r="J45" s="217"/>
      <c r="K45" s="217"/>
      <c r="L45" s="217"/>
      <c r="M45" s="217"/>
      <c r="N45" s="217"/>
      <c r="O45" s="219"/>
      <c r="V45" s="145" t="s">
        <v>171</v>
      </c>
    </row>
    <row r="46" spans="1:23" ht="15.75">
      <c r="A46" s="220" t="s">
        <v>161</v>
      </c>
      <c r="B46" s="221"/>
      <c r="C46" s="222" t="str">
        <f ca="1">RIGHT(CELL("address",OKT.001!D7),4)</f>
        <v>$D$7</v>
      </c>
      <c r="D46" s="222" t="str">
        <f ca="1">RIGHT(CELL("address",OKT.001!D11),4)</f>
        <v>D$11</v>
      </c>
      <c r="E46" s="222" t="str">
        <f ca="1">RIGHT(CELL("address",OKT.001!N5),4)</f>
        <v>$N$5</v>
      </c>
      <c r="F46" s="222" t="str">
        <f ca="1">RIGHT(CELL("address",OKT.001!N7),4)</f>
        <v>$N$7</v>
      </c>
      <c r="G46" s="221"/>
      <c r="H46" s="223"/>
      <c r="I46" s="222" t="str">
        <f ca="1">RIGHT(CELL("address",OKT.001!M90),4)</f>
        <v>M$90</v>
      </c>
      <c r="J46" s="222"/>
      <c r="K46" s="221"/>
      <c r="L46" s="221"/>
      <c r="M46" s="221"/>
      <c r="N46" s="222" t="str">
        <f ca="1">RIGHT(CELL("address",OKT.001!N88),4)</f>
        <v>N$88</v>
      </c>
      <c r="O46" s="224" t="str">
        <f ca="1">RIGHT(CELL("address",OKT.001!N89),4)</f>
        <v>N$89</v>
      </c>
      <c r="P46" s="175" t="s">
        <v>160</v>
      </c>
      <c r="V46" s="145" t="s">
        <v>172</v>
      </c>
    </row>
    <row r="47" spans="1:23">
      <c r="A47" s="225" t="s">
        <v>162</v>
      </c>
      <c r="B47" s="226"/>
      <c r="C47" s="226"/>
      <c r="D47" s="226"/>
      <c r="E47" s="227"/>
      <c r="F47" s="227"/>
      <c r="G47" s="227"/>
      <c r="H47" s="226"/>
      <c r="I47" s="226"/>
      <c r="J47" s="226"/>
      <c r="K47" s="226"/>
      <c r="L47" s="226"/>
      <c r="M47" s="226"/>
      <c r="N47" s="226"/>
      <c r="O47" s="228"/>
      <c r="V47" s="145" t="s">
        <v>173</v>
      </c>
    </row>
    <row r="48" spans="1:23">
      <c r="E48" s="213"/>
      <c r="F48" s="213"/>
      <c r="G48" s="213"/>
      <c r="V48" s="145" t="s">
        <v>174</v>
      </c>
    </row>
    <row r="49" spans="5:22">
      <c r="E49" s="213"/>
      <c r="F49" s="213"/>
      <c r="G49" s="213"/>
      <c r="V49" s="145" t="s">
        <v>175</v>
      </c>
    </row>
    <row r="54" spans="5:22" ht="12.75" customHeight="1">
      <c r="G54" s="157"/>
      <c r="I54" s="229"/>
      <c r="J54" s="229"/>
    </row>
    <row r="55" spans="5:22" ht="12.75" customHeight="1">
      <c r="E55" s="230"/>
      <c r="F55" s="230"/>
      <c r="G55" s="231"/>
      <c r="I55" s="230"/>
      <c r="J55" s="232"/>
    </row>
    <row r="56" spans="5:22" ht="12.75" customHeight="1">
      <c r="E56" s="230"/>
      <c r="F56" s="230"/>
      <c r="G56" s="231"/>
      <c r="I56" s="230"/>
      <c r="J56" s="232"/>
    </row>
    <row r="57" spans="5:22" ht="12.75" customHeight="1">
      <c r="E57" s="230"/>
      <c r="F57" s="230"/>
      <c r="G57" s="231"/>
      <c r="I57" s="230"/>
      <c r="J57" s="232"/>
    </row>
    <row r="58" spans="5:22" ht="12.75" customHeight="1">
      <c r="E58" s="230"/>
      <c r="F58" s="230"/>
      <c r="G58" s="231"/>
      <c r="I58" s="230"/>
      <c r="J58" s="232"/>
    </row>
    <row r="59" spans="5:22" ht="12.75" customHeight="1">
      <c r="E59" s="230"/>
      <c r="F59" s="230"/>
      <c r="G59" s="231"/>
      <c r="I59" s="230"/>
      <c r="J59" s="232"/>
    </row>
    <row r="60" spans="5:22" ht="12.75" customHeight="1">
      <c r="E60" s="230"/>
      <c r="F60" s="230"/>
      <c r="G60" s="231"/>
      <c r="I60" s="230"/>
      <c r="J60" s="232"/>
    </row>
    <row r="61" spans="5:22" ht="12.75" customHeight="1">
      <c r="E61" s="230"/>
      <c r="F61" s="230"/>
      <c r="G61" s="231"/>
      <c r="I61" s="230"/>
      <c r="J61" s="232"/>
    </row>
    <row r="62" spans="5:22" ht="12.75" customHeight="1">
      <c r="E62" s="230"/>
      <c r="F62" s="230"/>
      <c r="G62" s="231"/>
      <c r="I62" s="230"/>
      <c r="J62" s="232"/>
    </row>
    <row r="63" spans="5:22" ht="12.75" customHeight="1">
      <c r="E63" s="230"/>
      <c r="F63" s="230"/>
      <c r="G63" s="231"/>
      <c r="I63" s="230"/>
      <c r="J63" s="232"/>
    </row>
    <row r="64" spans="5:22" ht="12.75" customHeight="1">
      <c r="E64" s="230"/>
      <c r="F64" s="230"/>
      <c r="G64" s="231"/>
      <c r="I64" s="230"/>
      <c r="J64" s="232"/>
    </row>
    <row r="65" spans="5:10" ht="12.75" customHeight="1">
      <c r="E65" s="230"/>
      <c r="F65" s="230"/>
      <c r="G65" s="231"/>
      <c r="I65" s="230"/>
      <c r="J65" s="232"/>
    </row>
    <row r="66" spans="5:10" ht="12.75" customHeight="1">
      <c r="E66" s="230"/>
      <c r="F66" s="230"/>
      <c r="G66" s="231"/>
      <c r="I66" s="230"/>
      <c r="J66" s="232"/>
    </row>
    <row r="67" spans="5:10" ht="12.75" customHeight="1">
      <c r="E67" s="230"/>
      <c r="F67" s="230"/>
      <c r="G67" s="231"/>
      <c r="I67" s="230"/>
      <c r="J67" s="232"/>
    </row>
    <row r="68" spans="5:10" ht="12.75" customHeight="1">
      <c r="E68" s="230"/>
      <c r="F68" s="230"/>
      <c r="G68" s="231"/>
      <c r="I68" s="230"/>
      <c r="J68" s="232"/>
    </row>
    <row r="69" spans="5:10" ht="12.75" customHeight="1">
      <c r="E69" s="230"/>
      <c r="F69" s="230"/>
      <c r="G69" s="231"/>
      <c r="I69" s="230"/>
      <c r="J69" s="232"/>
    </row>
    <row r="70" spans="5:10" ht="12.75" customHeight="1">
      <c r="E70" s="230"/>
      <c r="F70" s="230"/>
      <c r="G70" s="231"/>
      <c r="I70" s="230"/>
      <c r="J70" s="232"/>
    </row>
    <row r="71" spans="5:10" ht="12.75" customHeight="1">
      <c r="E71" s="230"/>
      <c r="F71" s="230"/>
      <c r="G71" s="231"/>
      <c r="I71" s="230"/>
      <c r="J71" s="232"/>
    </row>
    <row r="72" spans="5:10" ht="12.75" customHeight="1">
      <c r="E72" s="230"/>
      <c r="F72" s="230"/>
      <c r="G72" s="231"/>
      <c r="I72" s="230"/>
      <c r="J72" s="232"/>
    </row>
    <row r="73" spans="5:10" ht="12.75" customHeight="1">
      <c r="E73" s="230"/>
      <c r="F73" s="230"/>
      <c r="G73" s="231"/>
      <c r="I73" s="230"/>
      <c r="J73" s="232"/>
    </row>
    <row r="74" spans="5:10" ht="12.75" customHeight="1">
      <c r="E74" s="230"/>
      <c r="F74" s="230"/>
      <c r="I74" s="230"/>
      <c r="J74" s="232"/>
    </row>
    <row r="75" spans="5:10" ht="12.75" customHeight="1">
      <c r="E75" s="230"/>
      <c r="F75" s="230"/>
      <c r="G75" s="231"/>
      <c r="I75" s="230"/>
      <c r="J75" s="232"/>
    </row>
  </sheetData>
  <mergeCells count="2">
    <mergeCell ref="E13:G13"/>
    <mergeCell ref="T14:T16"/>
  </mergeCells>
  <phoneticPr fontId="62" type="noConversion"/>
  <pageMargins left="0.5" right="0.5" top="1" bottom="1" header="0.65" footer="0.5"/>
  <pageSetup scale="52"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9"/>
  <dimension ref="A1:U163"/>
  <sheetViews>
    <sheetView zoomScaleNormal="100" zoomScaleSheetLayoutView="80"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8.5703125" style="145" customWidth="1"/>
    <col min="11" max="11" width="17.7109375" style="145" customWidth="1"/>
    <col min="12" max="12" width="16.140625" style="145" customWidth="1"/>
    <col min="13" max="13" width="18.7109375" style="145" customWidth="1"/>
    <col min="14" max="14" width="20.42578125" style="145" customWidth="1"/>
    <col min="15" max="15" width="20"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7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1229743.0760443411</v>
      </c>
      <c r="P5" s="244"/>
      <c r="R5" s="244"/>
      <c r="S5" s="244"/>
      <c r="T5" s="244"/>
      <c r="U5" s="244"/>
    </row>
    <row r="6" spans="1:21" ht="15.75">
      <c r="C6" s="236"/>
      <c r="D6" s="293"/>
      <c r="E6" s="244"/>
      <c r="F6" s="244"/>
      <c r="G6" s="244"/>
      <c r="H6" s="450"/>
      <c r="I6" s="450"/>
      <c r="J6" s="451"/>
      <c r="K6" s="452" t="s">
        <v>243</v>
      </c>
      <c r="L6" s="453"/>
      <c r="M6" s="279"/>
      <c r="N6" s="454">
        <f>VLOOKUP(I10,C17:I73,6)</f>
        <v>1229743.0760443411</v>
      </c>
      <c r="O6" s="244"/>
      <c r="P6" s="244"/>
      <c r="R6" s="244"/>
      <c r="S6" s="244"/>
      <c r="T6" s="244"/>
      <c r="U6" s="244"/>
    </row>
    <row r="7" spans="1:21" ht="13.5" thickBot="1">
      <c r="C7" s="455" t="s">
        <v>46</v>
      </c>
      <c r="D7" s="456" t="s">
        <v>214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213</v>
      </c>
      <c r="E9" s="466"/>
      <c r="F9" s="466"/>
      <c r="G9" s="466"/>
      <c r="H9" s="466"/>
      <c r="I9" s="467"/>
      <c r="J9" s="468"/>
      <c r="O9" s="469"/>
      <c r="P9" s="279"/>
      <c r="R9" s="244"/>
      <c r="S9" s="244"/>
      <c r="T9" s="244"/>
      <c r="U9" s="244"/>
    </row>
    <row r="10" spans="1:21">
      <c r="C10" s="470" t="s">
        <v>49</v>
      </c>
      <c r="D10" s="471">
        <v>10218098</v>
      </c>
      <c r="E10" s="300" t="s">
        <v>50</v>
      </c>
      <c r="F10" s="469"/>
      <c r="G10" s="409"/>
      <c r="H10" s="409"/>
      <c r="I10" s="472">
        <f>+'OKT.WS.F.BPU.ATRR.Projected'!R100</f>
        <v>2020</v>
      </c>
      <c r="J10" s="468"/>
      <c r="K10" s="295" t="s">
        <v>51</v>
      </c>
      <c r="O10" s="279"/>
      <c r="P10" s="279"/>
      <c r="R10" s="244"/>
      <c r="S10" s="244"/>
      <c r="T10" s="244"/>
      <c r="U10" s="244"/>
    </row>
    <row r="11" spans="1:21">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10</v>
      </c>
      <c r="E12" s="473" t="s">
        <v>55</v>
      </c>
      <c r="F12" s="409"/>
      <c r="G12" s="221"/>
      <c r="H12" s="221"/>
      <c r="I12" s="477">
        <f>'OKT.WS.F.BPU.ATRR.Projected'!$F$78</f>
        <v>0.1064171487591708</v>
      </c>
      <c r="J12" s="414"/>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300532.29411764705</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2014</v>
      </c>
      <c r="D17" s="497">
        <v>10780000</v>
      </c>
      <c r="E17" s="498">
        <v>108783.19956647091</v>
      </c>
      <c r="F17" s="497">
        <v>10671216.80043353</v>
      </c>
      <c r="G17" s="498">
        <v>891533.50922396348</v>
      </c>
      <c r="H17" s="500">
        <v>891533.50922396348</v>
      </c>
      <c r="I17" s="501">
        <v>0</v>
      </c>
      <c r="J17" s="501"/>
      <c r="K17" s="502">
        <f t="shared" ref="K17:K22" si="1">G17</f>
        <v>891533.50922396348</v>
      </c>
      <c r="L17" s="503">
        <f t="shared" ref="L17:L22" si="2">IF(K17&lt;&gt;0,+G17-K17,0)</f>
        <v>0</v>
      </c>
      <c r="M17" s="502">
        <f t="shared" ref="M17:M22" si="3">H17</f>
        <v>891533.50922396348</v>
      </c>
      <c r="N17" s="504">
        <f>IF(M17&lt;&gt;0,+H17-M17,0)</f>
        <v>0</v>
      </c>
      <c r="O17" s="505">
        <f>+N17-L17</f>
        <v>0</v>
      </c>
      <c r="P17" s="279"/>
      <c r="R17" s="244"/>
      <c r="S17" s="244"/>
      <c r="T17" s="244"/>
      <c r="U17" s="244"/>
    </row>
    <row r="18" spans="2:21">
      <c r="B18" s="145" t="str">
        <f t="shared" si="0"/>
        <v/>
      </c>
      <c r="C18" s="496">
        <f>IF(D11="","-",+C17+1)</f>
        <v>2015</v>
      </c>
      <c r="D18" s="497">
        <v>10671216.80043353</v>
      </c>
      <c r="E18" s="499">
        <v>177316.90361351607</v>
      </c>
      <c r="F18" s="497">
        <v>10493899.896820014</v>
      </c>
      <c r="G18" s="499">
        <v>1258875.2944357994</v>
      </c>
      <c r="H18" s="500">
        <v>1258875.2944357994</v>
      </c>
      <c r="I18" s="501">
        <v>0</v>
      </c>
      <c r="J18" s="501"/>
      <c r="K18" s="507">
        <f t="shared" si="1"/>
        <v>1258875.2944357994</v>
      </c>
      <c r="L18" s="508">
        <f t="shared" si="2"/>
        <v>0</v>
      </c>
      <c r="M18" s="507">
        <f t="shared" si="3"/>
        <v>1258875.2944357994</v>
      </c>
      <c r="N18" s="505">
        <f>IF(M18&lt;&gt;0,+H18-M18,0)</f>
        <v>0</v>
      </c>
      <c r="O18" s="505">
        <f>+N18-L18</f>
        <v>0</v>
      </c>
      <c r="P18" s="279"/>
      <c r="R18" s="244"/>
      <c r="S18" s="244"/>
      <c r="T18" s="244"/>
      <c r="U18" s="244"/>
    </row>
    <row r="19" spans="2:21">
      <c r="B19" s="145" t="str">
        <f t="shared" si="0"/>
        <v>IU</v>
      </c>
      <c r="C19" s="496">
        <f>IF(D11="","-",+C18+1)</f>
        <v>2016</v>
      </c>
      <c r="D19" s="497">
        <v>9931637.8968200125</v>
      </c>
      <c r="E19" s="499">
        <v>212319.01830997164</v>
      </c>
      <c r="F19" s="497">
        <v>9719318.8785100412</v>
      </c>
      <c r="G19" s="499">
        <v>1260842.7357894429</v>
      </c>
      <c r="H19" s="500">
        <v>1260842.7357894429</v>
      </c>
      <c r="I19" s="501">
        <f>H19-G19</f>
        <v>0</v>
      </c>
      <c r="J19" s="501"/>
      <c r="K19" s="507">
        <f t="shared" si="1"/>
        <v>1260842.7357894429</v>
      </c>
      <c r="L19" s="508">
        <f t="shared" si="2"/>
        <v>0</v>
      </c>
      <c r="M19" s="507">
        <f t="shared" si="3"/>
        <v>1260842.7357894429</v>
      </c>
      <c r="N19" s="505">
        <f t="shared" ref="N19:N73" si="4">IF(M19&lt;&gt;0,+H19-M19,0)</f>
        <v>0</v>
      </c>
      <c r="O19" s="505">
        <f t="shared" ref="O19:O73" si="5">+N19-L19</f>
        <v>0</v>
      </c>
      <c r="P19" s="279"/>
      <c r="R19" s="244"/>
      <c r="S19" s="244"/>
      <c r="T19" s="244"/>
      <c r="U19" s="244"/>
    </row>
    <row r="20" spans="2:21">
      <c r="B20" s="145" t="str">
        <f t="shared" si="0"/>
        <v>IU</v>
      </c>
      <c r="C20" s="496">
        <f>IF(D11="","-",+C19+1)</f>
        <v>2017</v>
      </c>
      <c r="D20" s="497">
        <v>9719678.8785100412</v>
      </c>
      <c r="E20" s="499">
        <v>200908.03630390498</v>
      </c>
      <c r="F20" s="497">
        <v>9518770.8422061354</v>
      </c>
      <c r="G20" s="499">
        <v>1258445.35153371</v>
      </c>
      <c r="H20" s="500">
        <v>1258445.35153371</v>
      </c>
      <c r="I20" s="501">
        <f t="shared" ref="I20:I73" si="6">H20-G20</f>
        <v>0</v>
      </c>
      <c r="J20" s="501"/>
      <c r="K20" s="507">
        <f t="shared" si="1"/>
        <v>1258445.35153371</v>
      </c>
      <c r="L20" s="508">
        <f t="shared" si="2"/>
        <v>0</v>
      </c>
      <c r="M20" s="507">
        <f t="shared" si="3"/>
        <v>1258445.35153371</v>
      </c>
      <c r="N20" s="505">
        <f>IF(M20&lt;&gt;0,+H20-M20,0)</f>
        <v>0</v>
      </c>
      <c r="O20" s="505">
        <f>+N20-L20</f>
        <v>0</v>
      </c>
      <c r="P20" s="279"/>
      <c r="R20" s="244"/>
      <c r="S20" s="244"/>
      <c r="T20" s="244"/>
      <c r="U20" s="244"/>
    </row>
    <row r="21" spans="2:21">
      <c r="B21" s="145" t="str">
        <f t="shared" si="0"/>
        <v/>
      </c>
      <c r="C21" s="496">
        <f>IF(D11="","-",+C20+1)</f>
        <v>2018</v>
      </c>
      <c r="D21" s="497">
        <v>9518770.8422061354</v>
      </c>
      <c r="E21" s="499">
        <v>250594.58163414692</v>
      </c>
      <c r="F21" s="497">
        <v>9268176.2605719883</v>
      </c>
      <c r="G21" s="499">
        <v>1354243.4360330855</v>
      </c>
      <c r="H21" s="500">
        <v>1354243.4360330855</v>
      </c>
      <c r="I21" s="501">
        <v>0</v>
      </c>
      <c r="J21" s="501"/>
      <c r="K21" s="507">
        <f t="shared" si="1"/>
        <v>1354243.4360330855</v>
      </c>
      <c r="L21" s="508">
        <f t="shared" si="2"/>
        <v>0</v>
      </c>
      <c r="M21" s="507">
        <f t="shared" si="3"/>
        <v>1354243.4360330855</v>
      </c>
      <c r="N21" s="505">
        <f>IF(M21&lt;&gt;0,+H21-M21,0)</f>
        <v>0</v>
      </c>
      <c r="O21" s="505">
        <f>+N21-L21</f>
        <v>0</v>
      </c>
      <c r="P21" s="279"/>
      <c r="R21" s="244"/>
      <c r="S21" s="244"/>
      <c r="T21" s="244"/>
      <c r="U21" s="244"/>
    </row>
    <row r="22" spans="2:21">
      <c r="B22" s="145" t="str">
        <f t="shared" si="0"/>
        <v/>
      </c>
      <c r="C22" s="496">
        <f>IF(D11="","-",+C21+1)</f>
        <v>2019</v>
      </c>
      <c r="D22" s="497">
        <v>9268176.2605719883</v>
      </c>
      <c r="E22" s="499">
        <v>250594.58163414692</v>
      </c>
      <c r="F22" s="497">
        <v>9017581.6789378412</v>
      </c>
      <c r="G22" s="499">
        <v>1324800.821282953</v>
      </c>
      <c r="H22" s="500">
        <v>1324800.821282953</v>
      </c>
      <c r="I22" s="501">
        <f t="shared" si="6"/>
        <v>0</v>
      </c>
      <c r="J22" s="501"/>
      <c r="K22" s="507">
        <f t="shared" si="1"/>
        <v>1324800.821282953</v>
      </c>
      <c r="L22" s="508">
        <f t="shared" si="2"/>
        <v>0</v>
      </c>
      <c r="M22" s="507">
        <f t="shared" si="3"/>
        <v>1324800.821282953</v>
      </c>
      <c r="N22" s="505">
        <f>IF(M22&lt;&gt;0,+H22-M22,0)</f>
        <v>0</v>
      </c>
      <c r="O22" s="505">
        <f>+N22-L22</f>
        <v>0</v>
      </c>
      <c r="P22" s="279"/>
      <c r="R22" s="244"/>
      <c r="S22" s="244"/>
      <c r="T22" s="244"/>
      <c r="U22" s="244"/>
    </row>
    <row r="23" spans="2:21">
      <c r="B23" s="145" t="str">
        <f t="shared" si="0"/>
        <v/>
      </c>
      <c r="C23" s="496">
        <f>IF(D11="","-",+C22+1)</f>
        <v>2020</v>
      </c>
      <c r="D23" s="497">
        <v>9017581.6789378412</v>
      </c>
      <c r="E23" s="499">
        <v>299204.10245587147</v>
      </c>
      <c r="F23" s="497">
        <v>8718377.57648197</v>
      </c>
      <c r="G23" s="499">
        <v>1229743.0760443411</v>
      </c>
      <c r="H23" s="500">
        <v>1229743.0760443411</v>
      </c>
      <c r="I23" s="501">
        <f t="shared" si="6"/>
        <v>0</v>
      </c>
      <c r="J23" s="501"/>
      <c r="K23" s="507">
        <f t="shared" ref="K23" si="7">G23</f>
        <v>1229743.0760443411</v>
      </c>
      <c r="L23" s="508">
        <f t="shared" ref="L23" si="8">IF(K23&lt;&gt;0,+G23-K23,0)</f>
        <v>0</v>
      </c>
      <c r="M23" s="507">
        <f t="shared" ref="M23" si="9">H23</f>
        <v>1229743.0760443411</v>
      </c>
      <c r="N23" s="505">
        <f t="shared" si="4"/>
        <v>0</v>
      </c>
      <c r="O23" s="505">
        <f t="shared" si="5"/>
        <v>0</v>
      </c>
      <c r="P23" s="279"/>
      <c r="R23" s="244"/>
      <c r="S23" s="244"/>
      <c r="T23" s="244"/>
      <c r="U23" s="244"/>
    </row>
    <row r="24" spans="2:21">
      <c r="B24" s="145" t="str">
        <f t="shared" si="0"/>
        <v>IU</v>
      </c>
      <c r="C24" s="496">
        <f>IF(D11="","-",+C23+1)</f>
        <v>2021</v>
      </c>
      <c r="D24" s="497">
        <v>8665915.1536984183</v>
      </c>
      <c r="E24" s="499">
        <v>329616.06451612903</v>
      </c>
      <c r="F24" s="497">
        <v>8336299.0891822893</v>
      </c>
      <c r="G24" s="499">
        <v>1249308.9096017922</v>
      </c>
      <c r="H24" s="500">
        <v>1249308.9096017922</v>
      </c>
      <c r="I24" s="501">
        <f t="shared" si="6"/>
        <v>0</v>
      </c>
      <c r="J24" s="501"/>
      <c r="K24" s="507">
        <f t="shared" ref="K24" si="10">G24</f>
        <v>1249308.9096017922</v>
      </c>
      <c r="L24" s="508">
        <f t="shared" ref="L24" si="11">IF(K24&lt;&gt;0,+G24-K24,0)</f>
        <v>0</v>
      </c>
      <c r="M24" s="507">
        <f t="shared" ref="M24" si="12">H24</f>
        <v>1249308.9096017922</v>
      </c>
      <c r="N24" s="505">
        <f t="shared" si="4"/>
        <v>0</v>
      </c>
      <c r="O24" s="505">
        <f t="shared" si="5"/>
        <v>0</v>
      </c>
      <c r="P24" s="279"/>
      <c r="R24" s="244"/>
      <c r="S24" s="244"/>
      <c r="T24" s="244"/>
      <c r="U24" s="244"/>
    </row>
    <row r="25" spans="2:21">
      <c r="B25" s="145" t="str">
        <f t="shared" si="0"/>
        <v>IU</v>
      </c>
      <c r="C25" s="496">
        <f>IF(D11="","-",+C24+1)</f>
        <v>2022</v>
      </c>
      <c r="D25" s="509">
        <f>IF(F24+SUM(E$17:E24)=D$10,F24,D$10-SUM(E$17:E24))</f>
        <v>8388761.5119658429</v>
      </c>
      <c r="E25" s="510">
        <f t="shared" ref="E25:E73" si="13">IF(+$I$14&lt;F24,$I$14,D25)</f>
        <v>300532.29411764705</v>
      </c>
      <c r="F25" s="511">
        <f t="shared" ref="F25:F73" si="14">+D25-E25</f>
        <v>8088229.2178481957</v>
      </c>
      <c r="G25" s="512">
        <f t="shared" ref="G25:G73" si="15">(D25+F25)/2*I$12+E25</f>
        <v>1177249.4809166964</v>
      </c>
      <c r="H25" s="478">
        <f t="shared" ref="H25:H73" si="16">+(D25+F25)/2*I$13+E25</f>
        <v>1177249.4809166964</v>
      </c>
      <c r="I25" s="501">
        <f t="shared" si="6"/>
        <v>0</v>
      </c>
      <c r="J25" s="501"/>
      <c r="K25" s="513"/>
      <c r="L25" s="505">
        <f t="shared" ref="L25:L73" si="17">IF(K25&lt;&gt;0,+G25-K25,0)</f>
        <v>0</v>
      </c>
      <c r="M25" s="513"/>
      <c r="N25" s="505">
        <f t="shared" si="4"/>
        <v>0</v>
      </c>
      <c r="O25" s="505">
        <f t="shared" si="5"/>
        <v>0</v>
      </c>
      <c r="P25" s="279"/>
      <c r="R25" s="244"/>
      <c r="S25" s="244"/>
      <c r="T25" s="244"/>
      <c r="U25" s="244"/>
    </row>
    <row r="26" spans="2:21">
      <c r="B26" s="145" t="str">
        <f t="shared" si="0"/>
        <v/>
      </c>
      <c r="C26" s="496">
        <f>IF(D11="","-",+C25+1)</f>
        <v>2023</v>
      </c>
      <c r="D26" s="509">
        <f>IF(F25+SUM(E$17:E25)=D$10,F25,D$10-SUM(E$17:E25))</f>
        <v>8088229.2178481957</v>
      </c>
      <c r="E26" s="510">
        <f t="shared" si="13"/>
        <v>300532.29411764705</v>
      </c>
      <c r="F26" s="511">
        <f t="shared" si="14"/>
        <v>7787696.9237305485</v>
      </c>
      <c r="G26" s="512">
        <f t="shared" si="15"/>
        <v>1145267.6910666439</v>
      </c>
      <c r="H26" s="478">
        <f t="shared" si="16"/>
        <v>1145267.6910666439</v>
      </c>
      <c r="I26" s="501">
        <f t="shared" si="6"/>
        <v>0</v>
      </c>
      <c r="J26" s="501"/>
      <c r="K26" s="513"/>
      <c r="L26" s="505">
        <f t="shared" si="17"/>
        <v>0</v>
      </c>
      <c r="M26" s="513"/>
      <c r="N26" s="505">
        <f t="shared" si="4"/>
        <v>0</v>
      </c>
      <c r="O26" s="505">
        <f t="shared" si="5"/>
        <v>0</v>
      </c>
      <c r="P26" s="279"/>
      <c r="R26" s="244"/>
      <c r="S26" s="244"/>
      <c r="T26" s="244"/>
      <c r="U26" s="244"/>
    </row>
    <row r="27" spans="2:21">
      <c r="B27" s="145" t="str">
        <f t="shared" si="0"/>
        <v/>
      </c>
      <c r="C27" s="496">
        <f>IF(D11="","-",+C26+1)</f>
        <v>2024</v>
      </c>
      <c r="D27" s="509">
        <f>IF(F26+SUM(E$17:E26)=D$10,F26,D$10-SUM(E$17:E26))</f>
        <v>7787696.9237305485</v>
      </c>
      <c r="E27" s="510">
        <f t="shared" si="13"/>
        <v>300532.29411764705</v>
      </c>
      <c r="F27" s="511">
        <f t="shared" si="14"/>
        <v>7487164.6296129012</v>
      </c>
      <c r="G27" s="512">
        <f t="shared" si="15"/>
        <v>1113285.9012165912</v>
      </c>
      <c r="H27" s="478">
        <f t="shared" si="16"/>
        <v>1113285.9012165912</v>
      </c>
      <c r="I27" s="501">
        <f t="shared" si="6"/>
        <v>0</v>
      </c>
      <c r="J27" s="501"/>
      <c r="K27" s="513"/>
      <c r="L27" s="505">
        <f t="shared" si="17"/>
        <v>0</v>
      </c>
      <c r="M27" s="513"/>
      <c r="N27" s="505">
        <f t="shared" si="4"/>
        <v>0</v>
      </c>
      <c r="O27" s="505">
        <f t="shared" si="5"/>
        <v>0</v>
      </c>
      <c r="P27" s="279"/>
      <c r="R27" s="244"/>
      <c r="S27" s="244"/>
      <c r="T27" s="244"/>
      <c r="U27" s="244"/>
    </row>
    <row r="28" spans="2:21">
      <c r="B28" s="145" t="str">
        <f t="shared" si="0"/>
        <v/>
      </c>
      <c r="C28" s="496">
        <f>IF(D11="","-",+C27+1)</f>
        <v>2025</v>
      </c>
      <c r="D28" s="509">
        <f>IF(F27+SUM(E$17:E27)=D$10,F27,D$10-SUM(E$17:E27))</f>
        <v>7487164.6296129012</v>
      </c>
      <c r="E28" s="510">
        <f t="shared" si="13"/>
        <v>300532.29411764705</v>
      </c>
      <c r="F28" s="511">
        <f t="shared" si="14"/>
        <v>7186632.335495254</v>
      </c>
      <c r="G28" s="512">
        <f t="shared" si="15"/>
        <v>1081304.1113665388</v>
      </c>
      <c r="H28" s="478">
        <f t="shared" si="16"/>
        <v>1081304.1113665388</v>
      </c>
      <c r="I28" s="501">
        <f t="shared" si="6"/>
        <v>0</v>
      </c>
      <c r="J28" s="501"/>
      <c r="K28" s="513"/>
      <c r="L28" s="505">
        <f t="shared" si="17"/>
        <v>0</v>
      </c>
      <c r="M28" s="513"/>
      <c r="N28" s="505">
        <f t="shared" si="4"/>
        <v>0</v>
      </c>
      <c r="O28" s="505">
        <f t="shared" si="5"/>
        <v>0</v>
      </c>
      <c r="P28" s="279"/>
      <c r="R28" s="244"/>
      <c r="S28" s="244"/>
      <c r="T28" s="244"/>
      <c r="U28" s="244"/>
    </row>
    <row r="29" spans="2:21">
      <c r="B29" s="145" t="str">
        <f t="shared" si="0"/>
        <v/>
      </c>
      <c r="C29" s="496">
        <f>IF(D11="","-",+C28+1)</f>
        <v>2026</v>
      </c>
      <c r="D29" s="509">
        <f>IF(F28+SUM(E$17:E28)=D$10,F28,D$10-SUM(E$17:E28))</f>
        <v>7186632.335495254</v>
      </c>
      <c r="E29" s="510">
        <f t="shared" si="13"/>
        <v>300532.29411764705</v>
      </c>
      <c r="F29" s="511">
        <f t="shared" si="14"/>
        <v>6886100.0413776068</v>
      </c>
      <c r="G29" s="512">
        <f t="shared" si="15"/>
        <v>1049322.3215164864</v>
      </c>
      <c r="H29" s="478">
        <f t="shared" si="16"/>
        <v>1049322.3215164864</v>
      </c>
      <c r="I29" s="501">
        <f t="shared" si="6"/>
        <v>0</v>
      </c>
      <c r="J29" s="501"/>
      <c r="K29" s="513"/>
      <c r="L29" s="505">
        <f t="shared" si="17"/>
        <v>0</v>
      </c>
      <c r="M29" s="513"/>
      <c r="N29" s="505">
        <f t="shared" si="4"/>
        <v>0</v>
      </c>
      <c r="O29" s="505">
        <f t="shared" si="5"/>
        <v>0</v>
      </c>
      <c r="P29" s="279"/>
      <c r="R29" s="244"/>
      <c r="S29" s="244"/>
      <c r="T29" s="244"/>
      <c r="U29" s="244"/>
    </row>
    <row r="30" spans="2:21">
      <c r="B30" s="145" t="str">
        <f t="shared" si="0"/>
        <v/>
      </c>
      <c r="C30" s="496">
        <f>IF(D11="","-",+C29+1)</f>
        <v>2027</v>
      </c>
      <c r="D30" s="509">
        <f>IF(F29+SUM(E$17:E29)=D$10,F29,D$10-SUM(E$17:E29))</f>
        <v>6886100.0413776068</v>
      </c>
      <c r="E30" s="510">
        <f t="shared" si="13"/>
        <v>300532.29411764705</v>
      </c>
      <c r="F30" s="511">
        <f t="shared" si="14"/>
        <v>6585567.7472599596</v>
      </c>
      <c r="G30" s="512">
        <f t="shared" si="15"/>
        <v>1017340.5316664339</v>
      </c>
      <c r="H30" s="478">
        <f t="shared" si="16"/>
        <v>1017340.5316664339</v>
      </c>
      <c r="I30" s="501">
        <f t="shared" si="6"/>
        <v>0</v>
      </c>
      <c r="J30" s="501"/>
      <c r="K30" s="513"/>
      <c r="L30" s="505">
        <f t="shared" si="17"/>
        <v>0</v>
      </c>
      <c r="M30" s="513"/>
      <c r="N30" s="505">
        <f t="shared" si="4"/>
        <v>0</v>
      </c>
      <c r="O30" s="505">
        <f t="shared" si="5"/>
        <v>0</v>
      </c>
      <c r="P30" s="279"/>
      <c r="R30" s="244"/>
      <c r="S30" s="244"/>
      <c r="T30" s="244"/>
      <c r="U30" s="244"/>
    </row>
    <row r="31" spans="2:21">
      <c r="B31" s="145" t="str">
        <f t="shared" si="0"/>
        <v/>
      </c>
      <c r="C31" s="496">
        <f>IF(D11="","-",+C30+1)</f>
        <v>2028</v>
      </c>
      <c r="D31" s="509">
        <f>IF(F30+SUM(E$17:E30)=D$10,F30,D$10-SUM(E$17:E30))</f>
        <v>6585567.7472599596</v>
      </c>
      <c r="E31" s="510">
        <f t="shared" si="13"/>
        <v>300532.29411764705</v>
      </c>
      <c r="F31" s="511">
        <f t="shared" si="14"/>
        <v>6285035.4531423124</v>
      </c>
      <c r="G31" s="512">
        <f t="shared" si="15"/>
        <v>985358.74181638123</v>
      </c>
      <c r="H31" s="478">
        <f t="shared" si="16"/>
        <v>985358.74181638123</v>
      </c>
      <c r="I31" s="501">
        <f t="shared" si="6"/>
        <v>0</v>
      </c>
      <c r="J31" s="501"/>
      <c r="K31" s="513"/>
      <c r="L31" s="505">
        <f t="shared" si="17"/>
        <v>0</v>
      </c>
      <c r="M31" s="513"/>
      <c r="N31" s="505">
        <f t="shared" si="4"/>
        <v>0</v>
      </c>
      <c r="O31" s="505">
        <f t="shared" si="5"/>
        <v>0</v>
      </c>
      <c r="P31" s="279"/>
      <c r="Q31" s="221"/>
      <c r="R31" s="279"/>
      <c r="S31" s="279"/>
      <c r="T31" s="279"/>
      <c r="U31" s="244"/>
    </row>
    <row r="32" spans="2:21">
      <c r="B32" s="145" t="str">
        <f t="shared" si="0"/>
        <v/>
      </c>
      <c r="C32" s="496">
        <f>IF(D12="","-",+C31+1)</f>
        <v>2029</v>
      </c>
      <c r="D32" s="509">
        <f>IF(F31+SUM(E$17:E31)=D$10,F31,D$10-SUM(E$17:E31))</f>
        <v>6285035.4531423124</v>
      </c>
      <c r="E32" s="510">
        <f>IF(+$I$14&lt;F31,$I$14,D32)</f>
        <v>300532.29411764705</v>
      </c>
      <c r="F32" s="511">
        <f>+D32-E32</f>
        <v>5984503.1590246651</v>
      </c>
      <c r="G32" s="512">
        <f t="shared" si="15"/>
        <v>953376.95196632878</v>
      </c>
      <c r="H32" s="478">
        <f t="shared" si="16"/>
        <v>953376.95196632878</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2030</v>
      </c>
      <c r="D33" s="582">
        <f>IF(F32+SUM(E$17:E32)=D$10,F32,D$10-SUM(E$17:E32))</f>
        <v>5984503.1590246651</v>
      </c>
      <c r="E33" s="510">
        <f>IF(+$I$14&lt;F31,$I$14,D33)</f>
        <v>300532.29411764705</v>
      </c>
      <c r="F33" s="511">
        <f t="shared" si="14"/>
        <v>5683970.8649070179</v>
      </c>
      <c r="G33" s="512">
        <f t="shared" si="15"/>
        <v>921395.1621162761</v>
      </c>
      <c r="H33" s="478">
        <f t="shared" si="16"/>
        <v>921395.1621162761</v>
      </c>
      <c r="I33" s="501">
        <f t="shared" si="6"/>
        <v>0</v>
      </c>
      <c r="J33" s="501"/>
      <c r="K33" s="513"/>
      <c r="L33" s="505">
        <f t="shared" si="17"/>
        <v>0</v>
      </c>
      <c r="M33" s="513"/>
      <c r="N33" s="505">
        <f t="shared" si="4"/>
        <v>0</v>
      </c>
      <c r="O33" s="505">
        <f t="shared" si="5"/>
        <v>0</v>
      </c>
      <c r="P33" s="279"/>
      <c r="R33" s="244"/>
      <c r="S33" s="244"/>
      <c r="T33" s="244"/>
      <c r="U33" s="244"/>
    </row>
    <row r="34" spans="2:21">
      <c r="B34" s="145" t="str">
        <f t="shared" si="0"/>
        <v/>
      </c>
      <c r="C34" s="514">
        <f>IF(D11="","-",+C33+1)</f>
        <v>2031</v>
      </c>
      <c r="D34" s="582">
        <f>IF(F33+SUM(E$17:E33)=D$10,F33,D$10-SUM(E$17:E33))</f>
        <v>5683970.8649070179</v>
      </c>
      <c r="E34" s="516">
        <f t="shared" si="13"/>
        <v>300532.29411764705</v>
      </c>
      <c r="F34" s="517">
        <f t="shared" si="14"/>
        <v>5383438.5707893707</v>
      </c>
      <c r="G34" s="518">
        <f t="shared" si="15"/>
        <v>889413.37226622365</v>
      </c>
      <c r="H34" s="519">
        <f t="shared" si="16"/>
        <v>889413.37226622365</v>
      </c>
      <c r="I34" s="520">
        <f t="shared" si="6"/>
        <v>0</v>
      </c>
      <c r="J34" s="520"/>
      <c r="K34" s="521"/>
      <c r="L34" s="522">
        <f t="shared" si="17"/>
        <v>0</v>
      </c>
      <c r="M34" s="521"/>
      <c r="N34" s="522">
        <f t="shared" si="4"/>
        <v>0</v>
      </c>
      <c r="O34" s="522">
        <f t="shared" si="5"/>
        <v>0</v>
      </c>
      <c r="P34" s="523"/>
      <c r="Q34" s="217"/>
      <c r="R34" s="523"/>
      <c r="S34" s="523"/>
      <c r="T34" s="523"/>
      <c r="U34" s="244"/>
    </row>
    <row r="35" spans="2:21">
      <c r="B35" s="145" t="str">
        <f t="shared" si="0"/>
        <v/>
      </c>
      <c r="C35" s="496">
        <f>IF(D11="","-",+C34+1)</f>
        <v>2032</v>
      </c>
      <c r="D35" s="509">
        <f>IF(F34+SUM(E$17:E34)=D$10,F34,D$10-SUM(E$17:E34))</f>
        <v>5383438.5707893707</v>
      </c>
      <c r="E35" s="510">
        <f t="shared" si="13"/>
        <v>300532.29411764705</v>
      </c>
      <c r="F35" s="511">
        <f t="shared" si="14"/>
        <v>5082906.2766717235</v>
      </c>
      <c r="G35" s="512">
        <f t="shared" si="15"/>
        <v>857431.58241617098</v>
      </c>
      <c r="H35" s="478">
        <f t="shared" si="16"/>
        <v>857431.58241617098</v>
      </c>
      <c r="I35" s="501">
        <f t="shared" si="6"/>
        <v>0</v>
      </c>
      <c r="J35" s="501"/>
      <c r="K35" s="513"/>
      <c r="L35" s="505">
        <f t="shared" si="17"/>
        <v>0</v>
      </c>
      <c r="M35" s="513"/>
      <c r="N35" s="505">
        <f t="shared" si="4"/>
        <v>0</v>
      </c>
      <c r="O35" s="505">
        <f t="shared" si="5"/>
        <v>0</v>
      </c>
      <c r="P35" s="279"/>
      <c r="R35" s="244"/>
      <c r="S35" s="244"/>
      <c r="T35" s="244"/>
      <c r="U35" s="244"/>
    </row>
    <row r="36" spans="2:21">
      <c r="B36" s="145" t="str">
        <f t="shared" si="0"/>
        <v/>
      </c>
      <c r="C36" s="496">
        <f>IF(D11="","-",+C35+1)</f>
        <v>2033</v>
      </c>
      <c r="D36" s="509">
        <f>IF(F35+SUM(E$17:E35)=D$10,F35,D$10-SUM(E$17:E35))</f>
        <v>5082906.2766717235</v>
      </c>
      <c r="E36" s="510">
        <f t="shared" si="13"/>
        <v>300532.29411764705</v>
      </c>
      <c r="F36" s="511">
        <f t="shared" si="14"/>
        <v>4782373.9825540762</v>
      </c>
      <c r="G36" s="512">
        <f t="shared" si="15"/>
        <v>825449.79256611853</v>
      </c>
      <c r="H36" s="478">
        <f t="shared" si="16"/>
        <v>825449.79256611853</v>
      </c>
      <c r="I36" s="501">
        <f t="shared" si="6"/>
        <v>0</v>
      </c>
      <c r="J36" s="501"/>
      <c r="K36" s="513"/>
      <c r="L36" s="505">
        <f t="shared" si="17"/>
        <v>0</v>
      </c>
      <c r="M36" s="513"/>
      <c r="N36" s="505">
        <f t="shared" si="4"/>
        <v>0</v>
      </c>
      <c r="O36" s="505">
        <f t="shared" si="5"/>
        <v>0</v>
      </c>
      <c r="P36" s="279"/>
      <c r="R36" s="244"/>
      <c r="S36" s="244"/>
      <c r="T36" s="244"/>
      <c r="U36" s="244"/>
    </row>
    <row r="37" spans="2:21">
      <c r="B37" s="145" t="str">
        <f t="shared" si="0"/>
        <v/>
      </c>
      <c r="C37" s="496">
        <f>IF(D11="","-",+C36+1)</f>
        <v>2034</v>
      </c>
      <c r="D37" s="509">
        <f>IF(F36+SUM(E$17:E36)=D$10,F36,D$10-SUM(E$17:E36))</f>
        <v>4782373.9825540762</v>
      </c>
      <c r="E37" s="510">
        <f t="shared" si="13"/>
        <v>300532.29411764705</v>
      </c>
      <c r="F37" s="511">
        <f t="shared" si="14"/>
        <v>4481841.688436429</v>
      </c>
      <c r="G37" s="512">
        <f t="shared" si="15"/>
        <v>793468.00271606597</v>
      </c>
      <c r="H37" s="478">
        <f t="shared" si="16"/>
        <v>793468.00271606597</v>
      </c>
      <c r="I37" s="501">
        <f t="shared" si="6"/>
        <v>0</v>
      </c>
      <c r="J37" s="501"/>
      <c r="K37" s="513"/>
      <c r="L37" s="505">
        <f t="shared" si="17"/>
        <v>0</v>
      </c>
      <c r="M37" s="513"/>
      <c r="N37" s="505">
        <f t="shared" si="4"/>
        <v>0</v>
      </c>
      <c r="O37" s="505">
        <f t="shared" si="5"/>
        <v>0</v>
      </c>
      <c r="P37" s="279"/>
      <c r="R37" s="244"/>
      <c r="S37" s="244"/>
      <c r="T37" s="244"/>
      <c r="U37" s="244"/>
    </row>
    <row r="38" spans="2:21">
      <c r="B38" s="145" t="str">
        <f t="shared" si="0"/>
        <v/>
      </c>
      <c r="C38" s="496">
        <f>IF(D11="","-",+C37+1)</f>
        <v>2035</v>
      </c>
      <c r="D38" s="509">
        <f>IF(F37+SUM(E$17:E37)=D$10,F37,D$10-SUM(E$17:E37))</f>
        <v>4481841.688436429</v>
      </c>
      <c r="E38" s="510">
        <f t="shared" si="13"/>
        <v>300532.29411764705</v>
      </c>
      <c r="F38" s="511">
        <f t="shared" si="14"/>
        <v>4181309.3943187818</v>
      </c>
      <c r="G38" s="512">
        <f t="shared" si="15"/>
        <v>761486.21286601352</v>
      </c>
      <c r="H38" s="478">
        <f t="shared" si="16"/>
        <v>761486.21286601352</v>
      </c>
      <c r="I38" s="501">
        <f t="shared" si="6"/>
        <v>0</v>
      </c>
      <c r="J38" s="501"/>
      <c r="K38" s="513"/>
      <c r="L38" s="505">
        <f t="shared" si="17"/>
        <v>0</v>
      </c>
      <c r="M38" s="513"/>
      <c r="N38" s="505">
        <f t="shared" si="4"/>
        <v>0</v>
      </c>
      <c r="O38" s="505">
        <f t="shared" si="5"/>
        <v>0</v>
      </c>
      <c r="P38" s="279"/>
      <c r="R38" s="244"/>
      <c r="S38" s="244"/>
      <c r="T38" s="244"/>
      <c r="U38" s="244"/>
    </row>
    <row r="39" spans="2:21">
      <c r="B39" s="145" t="str">
        <f t="shared" si="0"/>
        <v/>
      </c>
      <c r="C39" s="496">
        <f>IF(D11="","-",+C38+1)</f>
        <v>2036</v>
      </c>
      <c r="D39" s="509">
        <f>IF(F38+SUM(E$17:E38)=D$10,F38,D$10-SUM(E$17:E38))</f>
        <v>4181309.3943187818</v>
      </c>
      <c r="E39" s="510">
        <f t="shared" si="13"/>
        <v>300532.29411764705</v>
      </c>
      <c r="F39" s="511">
        <f t="shared" si="14"/>
        <v>3880777.1002011346</v>
      </c>
      <c r="G39" s="512">
        <f t="shared" si="15"/>
        <v>729504.42301596096</v>
      </c>
      <c r="H39" s="478">
        <f t="shared" si="16"/>
        <v>729504.42301596096</v>
      </c>
      <c r="I39" s="501">
        <f t="shared" si="6"/>
        <v>0</v>
      </c>
      <c r="J39" s="501"/>
      <c r="K39" s="513"/>
      <c r="L39" s="505">
        <f t="shared" si="17"/>
        <v>0</v>
      </c>
      <c r="M39" s="513"/>
      <c r="N39" s="505">
        <f t="shared" si="4"/>
        <v>0</v>
      </c>
      <c r="O39" s="505">
        <f t="shared" si="5"/>
        <v>0</v>
      </c>
      <c r="P39" s="279"/>
      <c r="R39" s="244"/>
      <c r="S39" s="244"/>
      <c r="T39" s="244"/>
      <c r="U39" s="244"/>
    </row>
    <row r="40" spans="2:21">
      <c r="B40" s="145" t="str">
        <f t="shared" si="0"/>
        <v/>
      </c>
      <c r="C40" s="496">
        <f>IF(D11="","-",+C39+1)</f>
        <v>2037</v>
      </c>
      <c r="D40" s="509">
        <f>IF(F39+SUM(E$17:E39)=D$10,F39,D$10-SUM(E$17:E39))</f>
        <v>3880777.1002011346</v>
      </c>
      <c r="E40" s="510">
        <f t="shared" si="13"/>
        <v>300532.29411764705</v>
      </c>
      <c r="F40" s="511">
        <f t="shared" si="14"/>
        <v>3580244.8060834873</v>
      </c>
      <c r="G40" s="512">
        <f t="shared" si="15"/>
        <v>697522.6331659084</v>
      </c>
      <c r="H40" s="478">
        <f t="shared" si="16"/>
        <v>697522.6331659084</v>
      </c>
      <c r="I40" s="501">
        <f t="shared" si="6"/>
        <v>0</v>
      </c>
      <c r="J40" s="501"/>
      <c r="K40" s="513"/>
      <c r="L40" s="505">
        <f t="shared" si="17"/>
        <v>0</v>
      </c>
      <c r="M40" s="513"/>
      <c r="N40" s="505">
        <f t="shared" si="4"/>
        <v>0</v>
      </c>
      <c r="O40" s="505">
        <f t="shared" si="5"/>
        <v>0</v>
      </c>
      <c r="P40" s="279"/>
      <c r="R40" s="244"/>
      <c r="S40" s="244"/>
      <c r="T40" s="244"/>
      <c r="U40" s="244"/>
    </row>
    <row r="41" spans="2:21">
      <c r="B41" s="145" t="str">
        <f t="shared" si="0"/>
        <v/>
      </c>
      <c r="C41" s="496">
        <f>IF(D12="","-",+C40+1)</f>
        <v>2038</v>
      </c>
      <c r="D41" s="509">
        <f>IF(F40+SUM(E$17:E40)=D$10,F40,D$10-SUM(E$17:E40))</f>
        <v>3580244.8060834873</v>
      </c>
      <c r="E41" s="510">
        <f t="shared" si="13"/>
        <v>300532.29411764705</v>
      </c>
      <c r="F41" s="511">
        <f t="shared" si="14"/>
        <v>3279712.5119658401</v>
      </c>
      <c r="G41" s="512">
        <f t="shared" si="15"/>
        <v>665540.84331585583</v>
      </c>
      <c r="H41" s="478">
        <f t="shared" si="16"/>
        <v>665540.84331585583</v>
      </c>
      <c r="I41" s="501">
        <f t="shared" si="6"/>
        <v>0</v>
      </c>
      <c r="J41" s="501"/>
      <c r="K41" s="513"/>
      <c r="L41" s="505">
        <f t="shared" si="17"/>
        <v>0</v>
      </c>
      <c r="M41" s="513"/>
      <c r="N41" s="505">
        <f t="shared" si="4"/>
        <v>0</v>
      </c>
      <c r="O41" s="505">
        <f t="shared" si="5"/>
        <v>0</v>
      </c>
      <c r="P41" s="279"/>
      <c r="R41" s="244"/>
      <c r="S41" s="244"/>
      <c r="T41" s="244"/>
      <c r="U41" s="244"/>
    </row>
    <row r="42" spans="2:21">
      <c r="B42" s="145" t="str">
        <f t="shared" si="0"/>
        <v/>
      </c>
      <c r="C42" s="496">
        <f>IF(D13="","-",+C41+1)</f>
        <v>2039</v>
      </c>
      <c r="D42" s="509">
        <f>IF(F41+SUM(E$17:E41)=D$10,F41,D$10-SUM(E$17:E41))</f>
        <v>3279712.5119658401</v>
      </c>
      <c r="E42" s="510">
        <f t="shared" si="13"/>
        <v>300532.29411764705</v>
      </c>
      <c r="F42" s="511">
        <f t="shared" si="14"/>
        <v>2979180.2178481929</v>
      </c>
      <c r="G42" s="512">
        <f t="shared" si="15"/>
        <v>633559.05346580339</v>
      </c>
      <c r="H42" s="478">
        <f t="shared" si="16"/>
        <v>633559.05346580339</v>
      </c>
      <c r="I42" s="501">
        <f t="shared" si="6"/>
        <v>0</v>
      </c>
      <c r="J42" s="501"/>
      <c r="K42" s="513"/>
      <c r="L42" s="505">
        <f t="shared" si="17"/>
        <v>0</v>
      </c>
      <c r="M42" s="513"/>
      <c r="N42" s="505">
        <f t="shared" si="4"/>
        <v>0</v>
      </c>
      <c r="O42" s="505">
        <f t="shared" si="5"/>
        <v>0</v>
      </c>
      <c r="P42" s="279"/>
      <c r="R42" s="244"/>
      <c r="S42" s="244"/>
      <c r="T42" s="244"/>
      <c r="U42" s="244"/>
    </row>
    <row r="43" spans="2:21">
      <c r="B43" s="145" t="str">
        <f t="shared" si="0"/>
        <v/>
      </c>
      <c r="C43" s="496">
        <f>IF(D11="","-",+C42+1)</f>
        <v>2040</v>
      </c>
      <c r="D43" s="509">
        <f>IF(F42+SUM(E$17:E42)=D$10,F42,D$10-SUM(E$17:E42))</f>
        <v>2979180.2178481929</v>
      </c>
      <c r="E43" s="510">
        <f t="shared" si="13"/>
        <v>300532.29411764705</v>
      </c>
      <c r="F43" s="511">
        <f t="shared" si="14"/>
        <v>2678647.9237305457</v>
      </c>
      <c r="G43" s="512">
        <f t="shared" si="15"/>
        <v>601577.26361575071</v>
      </c>
      <c r="H43" s="478">
        <f t="shared" si="16"/>
        <v>601577.26361575071</v>
      </c>
      <c r="I43" s="501">
        <f t="shared" si="6"/>
        <v>0</v>
      </c>
      <c r="J43" s="501"/>
      <c r="K43" s="513"/>
      <c r="L43" s="505">
        <f t="shared" si="17"/>
        <v>0</v>
      </c>
      <c r="M43" s="513"/>
      <c r="N43" s="505">
        <f t="shared" si="4"/>
        <v>0</v>
      </c>
      <c r="O43" s="505">
        <f t="shared" si="5"/>
        <v>0</v>
      </c>
      <c r="P43" s="279"/>
      <c r="R43" s="244"/>
      <c r="S43" s="244"/>
      <c r="T43" s="244"/>
      <c r="U43" s="244"/>
    </row>
    <row r="44" spans="2:21">
      <c r="B44" s="145" t="str">
        <f t="shared" si="0"/>
        <v/>
      </c>
      <c r="C44" s="496">
        <f>IF(D11="","-",+C43+1)</f>
        <v>2041</v>
      </c>
      <c r="D44" s="509">
        <f>IF(F43+SUM(E$17:E43)=D$10,F43,D$10-SUM(E$17:E43))</f>
        <v>2678647.9237305457</v>
      </c>
      <c r="E44" s="510">
        <f t="shared" si="13"/>
        <v>300532.29411764705</v>
      </c>
      <c r="F44" s="511">
        <f t="shared" si="14"/>
        <v>2378115.6296128985</v>
      </c>
      <c r="G44" s="512">
        <f t="shared" si="15"/>
        <v>569595.47376569826</v>
      </c>
      <c r="H44" s="478">
        <f t="shared" si="16"/>
        <v>569595.47376569826</v>
      </c>
      <c r="I44" s="501">
        <f t="shared" si="6"/>
        <v>0</v>
      </c>
      <c r="J44" s="501"/>
      <c r="K44" s="513"/>
      <c r="L44" s="505">
        <f t="shared" si="17"/>
        <v>0</v>
      </c>
      <c r="M44" s="513"/>
      <c r="N44" s="505">
        <f t="shared" si="4"/>
        <v>0</v>
      </c>
      <c r="O44" s="505">
        <f t="shared" si="5"/>
        <v>0</v>
      </c>
      <c r="P44" s="279"/>
      <c r="R44" s="244"/>
      <c r="S44" s="244"/>
      <c r="T44" s="244"/>
      <c r="U44" s="244"/>
    </row>
    <row r="45" spans="2:21">
      <c r="B45" s="145" t="str">
        <f t="shared" si="0"/>
        <v/>
      </c>
      <c r="C45" s="496">
        <f>IF(D11="","-",+C44+1)</f>
        <v>2042</v>
      </c>
      <c r="D45" s="509">
        <f>IF(F44+SUM(E$17:E44)=D$10,F44,D$10-SUM(E$17:E44))</f>
        <v>2378115.6296128985</v>
      </c>
      <c r="E45" s="510">
        <f t="shared" si="13"/>
        <v>300532.29411764705</v>
      </c>
      <c r="F45" s="511">
        <f t="shared" si="14"/>
        <v>2077583.3354952515</v>
      </c>
      <c r="G45" s="512">
        <f t="shared" si="15"/>
        <v>537613.6839156457</v>
      </c>
      <c r="H45" s="478">
        <f t="shared" si="16"/>
        <v>537613.6839156457</v>
      </c>
      <c r="I45" s="501">
        <f t="shared" si="6"/>
        <v>0</v>
      </c>
      <c r="J45" s="501"/>
      <c r="K45" s="513"/>
      <c r="L45" s="505">
        <f t="shared" si="17"/>
        <v>0</v>
      </c>
      <c r="M45" s="513"/>
      <c r="N45" s="505">
        <f t="shared" si="4"/>
        <v>0</v>
      </c>
      <c r="O45" s="505">
        <f t="shared" si="5"/>
        <v>0</v>
      </c>
      <c r="P45" s="279"/>
      <c r="R45" s="244"/>
      <c r="S45" s="244"/>
      <c r="T45" s="244"/>
      <c r="U45" s="244"/>
    </row>
    <row r="46" spans="2:21">
      <c r="B46" s="145" t="str">
        <f t="shared" si="0"/>
        <v/>
      </c>
      <c r="C46" s="496">
        <f>IF(D11="","-",+C45+1)</f>
        <v>2043</v>
      </c>
      <c r="D46" s="509">
        <f>IF(F45+SUM(E$17:E45)=D$10,F45,D$10-SUM(E$17:E45))</f>
        <v>2077583.3354952515</v>
      </c>
      <c r="E46" s="510">
        <f t="shared" si="13"/>
        <v>300532.29411764705</v>
      </c>
      <c r="F46" s="511">
        <f t="shared" si="14"/>
        <v>1777051.0413776045</v>
      </c>
      <c r="G46" s="512">
        <f t="shared" si="15"/>
        <v>505631.89406559325</v>
      </c>
      <c r="H46" s="478">
        <f t="shared" si="16"/>
        <v>505631.89406559325</v>
      </c>
      <c r="I46" s="501">
        <f t="shared" si="6"/>
        <v>0</v>
      </c>
      <c r="J46" s="501"/>
      <c r="K46" s="513"/>
      <c r="L46" s="505">
        <f t="shared" si="17"/>
        <v>0</v>
      </c>
      <c r="M46" s="513"/>
      <c r="N46" s="505">
        <f t="shared" si="4"/>
        <v>0</v>
      </c>
      <c r="O46" s="505">
        <f t="shared" si="5"/>
        <v>0</v>
      </c>
      <c r="P46" s="279"/>
      <c r="R46" s="244"/>
      <c r="S46" s="244"/>
      <c r="T46" s="244"/>
      <c r="U46" s="244"/>
    </row>
    <row r="47" spans="2:21">
      <c r="B47" s="145" t="str">
        <f t="shared" si="0"/>
        <v/>
      </c>
      <c r="C47" s="496">
        <f>IF(D11="","-",+C46+1)</f>
        <v>2044</v>
      </c>
      <c r="D47" s="509">
        <f>IF(F46+SUM(E$17:E46)=D$10,F46,D$10-SUM(E$17:E46))</f>
        <v>1777051.0413776045</v>
      </c>
      <c r="E47" s="510">
        <f t="shared" si="13"/>
        <v>300532.29411764705</v>
      </c>
      <c r="F47" s="511">
        <f t="shared" si="14"/>
        <v>1476518.7472599575</v>
      </c>
      <c r="G47" s="512">
        <f t="shared" si="15"/>
        <v>473650.10421554069</v>
      </c>
      <c r="H47" s="478">
        <f t="shared" si="16"/>
        <v>473650.10421554069</v>
      </c>
      <c r="I47" s="501">
        <f t="shared" si="6"/>
        <v>0</v>
      </c>
      <c r="J47" s="501"/>
      <c r="K47" s="513"/>
      <c r="L47" s="505">
        <f t="shared" si="17"/>
        <v>0</v>
      </c>
      <c r="M47" s="513"/>
      <c r="N47" s="505">
        <f t="shared" si="4"/>
        <v>0</v>
      </c>
      <c r="O47" s="505">
        <f t="shared" si="5"/>
        <v>0</v>
      </c>
      <c r="P47" s="279"/>
      <c r="R47" s="244"/>
      <c r="S47" s="244"/>
      <c r="T47" s="244"/>
      <c r="U47" s="244"/>
    </row>
    <row r="48" spans="2:21">
      <c r="B48" s="145" t="str">
        <f t="shared" si="0"/>
        <v/>
      </c>
      <c r="C48" s="496">
        <f>IF(D11="","-",+C47+1)</f>
        <v>2045</v>
      </c>
      <c r="D48" s="509">
        <f>IF(F47+SUM(E$17:E47)=D$10,F47,D$10-SUM(E$17:E47))</f>
        <v>1476518.7472599575</v>
      </c>
      <c r="E48" s="510">
        <f t="shared" si="13"/>
        <v>300532.29411764705</v>
      </c>
      <c r="F48" s="511">
        <f t="shared" si="14"/>
        <v>1175986.4531423105</v>
      </c>
      <c r="G48" s="512">
        <f t="shared" si="15"/>
        <v>441668.31436548824</v>
      </c>
      <c r="H48" s="478">
        <f t="shared" si="16"/>
        <v>441668.31436548824</v>
      </c>
      <c r="I48" s="501">
        <f t="shared" si="6"/>
        <v>0</v>
      </c>
      <c r="J48" s="501"/>
      <c r="K48" s="513"/>
      <c r="L48" s="505">
        <f t="shared" si="17"/>
        <v>0</v>
      </c>
      <c r="M48" s="513"/>
      <c r="N48" s="505">
        <f t="shared" si="4"/>
        <v>0</v>
      </c>
      <c r="O48" s="505">
        <f t="shared" si="5"/>
        <v>0</v>
      </c>
      <c r="P48" s="279"/>
      <c r="R48" s="244"/>
      <c r="S48" s="244"/>
      <c r="T48" s="244"/>
      <c r="U48" s="244"/>
    </row>
    <row r="49" spans="2:21">
      <c r="B49" s="145" t="str">
        <f t="shared" si="0"/>
        <v/>
      </c>
      <c r="C49" s="496">
        <f>IF(D11="","-",+C48+1)</f>
        <v>2046</v>
      </c>
      <c r="D49" s="509">
        <f>IF(F48+SUM(E$17:E48)=D$10,F48,D$10-SUM(E$17:E48))</f>
        <v>1175986.4531423105</v>
      </c>
      <c r="E49" s="510">
        <f t="shared" si="13"/>
        <v>300532.29411764705</v>
      </c>
      <c r="F49" s="511">
        <f t="shared" si="14"/>
        <v>875454.1590246635</v>
      </c>
      <c r="G49" s="512">
        <f t="shared" si="15"/>
        <v>409686.52451543568</v>
      </c>
      <c r="H49" s="478">
        <f t="shared" si="16"/>
        <v>409686.52451543568</v>
      </c>
      <c r="I49" s="501">
        <f t="shared" si="6"/>
        <v>0</v>
      </c>
      <c r="J49" s="501"/>
      <c r="K49" s="513"/>
      <c r="L49" s="505">
        <f t="shared" si="17"/>
        <v>0</v>
      </c>
      <c r="M49" s="513"/>
      <c r="N49" s="505">
        <f t="shared" si="4"/>
        <v>0</v>
      </c>
      <c r="O49" s="505">
        <f t="shared" si="5"/>
        <v>0</v>
      </c>
      <c r="P49" s="279"/>
      <c r="R49" s="244"/>
      <c r="S49" s="244"/>
      <c r="T49" s="244"/>
      <c r="U49" s="244"/>
    </row>
    <row r="50" spans="2:21">
      <c r="B50" s="145" t="str">
        <f t="shared" si="0"/>
        <v/>
      </c>
      <c r="C50" s="496">
        <f>IF(D11="","-",+C49+1)</f>
        <v>2047</v>
      </c>
      <c r="D50" s="509">
        <f>IF(F49+SUM(E$17:E49)=D$10,F49,D$10-SUM(E$17:E49))</f>
        <v>875454.1590246635</v>
      </c>
      <c r="E50" s="510">
        <f t="shared" si="13"/>
        <v>300532.29411764705</v>
      </c>
      <c r="F50" s="511">
        <f t="shared" si="14"/>
        <v>574921.86490701651</v>
      </c>
      <c r="G50" s="512">
        <f t="shared" si="15"/>
        <v>377704.73466538318</v>
      </c>
      <c r="H50" s="478">
        <f t="shared" si="16"/>
        <v>377704.73466538318</v>
      </c>
      <c r="I50" s="501">
        <f t="shared" si="6"/>
        <v>0</v>
      </c>
      <c r="J50" s="501"/>
      <c r="K50" s="513"/>
      <c r="L50" s="505">
        <f t="shared" si="17"/>
        <v>0</v>
      </c>
      <c r="M50" s="513"/>
      <c r="N50" s="505">
        <f t="shared" si="4"/>
        <v>0</v>
      </c>
      <c r="O50" s="505">
        <f t="shared" si="5"/>
        <v>0</v>
      </c>
      <c r="P50" s="279"/>
      <c r="R50" s="244"/>
      <c r="S50" s="244"/>
      <c r="T50" s="244"/>
      <c r="U50" s="244"/>
    </row>
    <row r="51" spans="2:21">
      <c r="B51" s="145" t="str">
        <f t="shared" si="0"/>
        <v/>
      </c>
      <c r="C51" s="496">
        <f>IF(D11="","-",+C50+1)</f>
        <v>2048</v>
      </c>
      <c r="D51" s="509">
        <f>IF(F50+SUM(E$17:E50)=D$10,F50,D$10-SUM(E$17:E50))</f>
        <v>574921.86490701651</v>
      </c>
      <c r="E51" s="510">
        <f t="shared" si="13"/>
        <v>300532.29411764705</v>
      </c>
      <c r="F51" s="511">
        <f t="shared" si="14"/>
        <v>274389.57078936946</v>
      </c>
      <c r="G51" s="512">
        <f t="shared" si="15"/>
        <v>345722.94481533067</v>
      </c>
      <c r="H51" s="478">
        <f t="shared" si="16"/>
        <v>345722.94481533067</v>
      </c>
      <c r="I51" s="501">
        <f t="shared" si="6"/>
        <v>0</v>
      </c>
      <c r="J51" s="501"/>
      <c r="K51" s="513"/>
      <c r="L51" s="505">
        <f t="shared" si="17"/>
        <v>0</v>
      </c>
      <c r="M51" s="513"/>
      <c r="N51" s="505">
        <f t="shared" si="4"/>
        <v>0</v>
      </c>
      <c r="O51" s="505">
        <f t="shared" si="5"/>
        <v>0</v>
      </c>
      <c r="P51" s="279"/>
      <c r="R51" s="244"/>
      <c r="S51" s="244"/>
      <c r="T51" s="244"/>
      <c r="U51" s="244"/>
    </row>
    <row r="52" spans="2:21">
      <c r="B52" s="145" t="str">
        <f t="shared" si="0"/>
        <v/>
      </c>
      <c r="C52" s="496">
        <f>IF(D11="","-",+C51+1)</f>
        <v>2049</v>
      </c>
      <c r="D52" s="509">
        <f>IF(F51+SUM(E$17:E51)=D$10,F51,D$10-SUM(E$17:E51))</f>
        <v>274389.57078936946</v>
      </c>
      <c r="E52" s="510">
        <f t="shared" si="13"/>
        <v>274389.57078936946</v>
      </c>
      <c r="F52" s="511">
        <f t="shared" si="14"/>
        <v>0</v>
      </c>
      <c r="G52" s="512">
        <f t="shared" si="15"/>
        <v>288989.44867569814</v>
      </c>
      <c r="H52" s="478">
        <f t="shared" si="16"/>
        <v>288989.44867569814</v>
      </c>
      <c r="I52" s="501">
        <f t="shared" si="6"/>
        <v>0</v>
      </c>
      <c r="J52" s="501"/>
      <c r="K52" s="513"/>
      <c r="L52" s="505">
        <f t="shared" si="17"/>
        <v>0</v>
      </c>
      <c r="M52" s="513"/>
      <c r="N52" s="505">
        <f t="shared" si="4"/>
        <v>0</v>
      </c>
      <c r="O52" s="505">
        <f t="shared" si="5"/>
        <v>0</v>
      </c>
      <c r="P52" s="279"/>
      <c r="R52" s="244"/>
      <c r="S52" s="244"/>
      <c r="T52" s="244"/>
      <c r="U52" s="244"/>
    </row>
    <row r="53" spans="2:21">
      <c r="B53" s="145" t="str">
        <f t="shared" si="0"/>
        <v/>
      </c>
      <c r="C53" s="496">
        <f>IF(D11="","-",+C52+1)</f>
        <v>2050</v>
      </c>
      <c r="D53" s="509">
        <f>IF(F52+SUM(E$17:E52)=D$10,F52,D$10-SUM(E$17:E52))</f>
        <v>0</v>
      </c>
      <c r="E53" s="510">
        <f t="shared" si="13"/>
        <v>0</v>
      </c>
      <c r="F53" s="511">
        <f t="shared" si="14"/>
        <v>0</v>
      </c>
      <c r="G53" s="512">
        <f t="shared" si="15"/>
        <v>0</v>
      </c>
      <c r="H53" s="478">
        <f t="shared" si="16"/>
        <v>0</v>
      </c>
      <c r="I53" s="501">
        <f t="shared" si="6"/>
        <v>0</v>
      </c>
      <c r="J53" s="501"/>
      <c r="K53" s="513"/>
      <c r="L53" s="505">
        <f t="shared" si="17"/>
        <v>0</v>
      </c>
      <c r="M53" s="513"/>
      <c r="N53" s="505">
        <f t="shared" si="4"/>
        <v>0</v>
      </c>
      <c r="O53" s="505">
        <f t="shared" si="5"/>
        <v>0</v>
      </c>
      <c r="P53" s="279"/>
      <c r="R53" s="244"/>
      <c r="S53" s="244"/>
      <c r="T53" s="244"/>
      <c r="U53" s="244"/>
    </row>
    <row r="54" spans="2:21">
      <c r="B54" s="145" t="str">
        <f t="shared" si="0"/>
        <v/>
      </c>
      <c r="C54" s="496">
        <f>IF(D11="","-",+C53+1)</f>
        <v>2051</v>
      </c>
      <c r="D54" s="509">
        <f>IF(F53+SUM(E$17:E53)=D$10,F53,D$10-SUM(E$17:E53))</f>
        <v>0</v>
      </c>
      <c r="E54" s="510">
        <f t="shared" si="13"/>
        <v>0</v>
      </c>
      <c r="F54" s="511">
        <f t="shared" si="14"/>
        <v>0</v>
      </c>
      <c r="G54" s="512">
        <f t="shared" si="15"/>
        <v>0</v>
      </c>
      <c r="H54" s="478">
        <f t="shared" si="16"/>
        <v>0</v>
      </c>
      <c r="I54" s="501">
        <f t="shared" si="6"/>
        <v>0</v>
      </c>
      <c r="J54" s="501"/>
      <c r="K54" s="513"/>
      <c r="L54" s="505">
        <f t="shared" si="17"/>
        <v>0</v>
      </c>
      <c r="M54" s="513"/>
      <c r="N54" s="505">
        <f t="shared" si="4"/>
        <v>0</v>
      </c>
      <c r="O54" s="505">
        <f t="shared" si="5"/>
        <v>0</v>
      </c>
      <c r="P54" s="279"/>
      <c r="R54" s="244"/>
      <c r="S54" s="244"/>
      <c r="T54" s="244"/>
      <c r="U54" s="244"/>
    </row>
    <row r="55" spans="2:21">
      <c r="B55" s="145" t="str">
        <f t="shared" si="0"/>
        <v/>
      </c>
      <c r="C55" s="496">
        <f>IF(D11="","-",+C54+1)</f>
        <v>2052</v>
      </c>
      <c r="D55" s="509">
        <f>IF(F54+SUM(E$17:E54)=D$10,F54,D$10-SUM(E$17:E54))</f>
        <v>0</v>
      </c>
      <c r="E55" s="510">
        <f t="shared" si="13"/>
        <v>0</v>
      </c>
      <c r="F55" s="511">
        <f t="shared" si="14"/>
        <v>0</v>
      </c>
      <c r="G55" s="512">
        <f t="shared" si="15"/>
        <v>0</v>
      </c>
      <c r="H55" s="478">
        <f t="shared" si="16"/>
        <v>0</v>
      </c>
      <c r="I55" s="501">
        <f t="shared" si="6"/>
        <v>0</v>
      </c>
      <c r="J55" s="501"/>
      <c r="K55" s="513"/>
      <c r="L55" s="505">
        <f t="shared" si="17"/>
        <v>0</v>
      </c>
      <c r="M55" s="513"/>
      <c r="N55" s="505">
        <f t="shared" si="4"/>
        <v>0</v>
      </c>
      <c r="O55" s="505">
        <f t="shared" si="5"/>
        <v>0</v>
      </c>
      <c r="P55" s="279"/>
      <c r="R55" s="244"/>
      <c r="S55" s="244"/>
      <c r="T55" s="244"/>
      <c r="U55" s="244"/>
    </row>
    <row r="56" spans="2:21">
      <c r="B56" s="145" t="str">
        <f t="shared" si="0"/>
        <v/>
      </c>
      <c r="C56" s="496">
        <f>IF(D11="","-",+C55+1)</f>
        <v>2053</v>
      </c>
      <c r="D56" s="509">
        <f>IF(F55+SUM(E$17:E55)=D$10,F55,D$10-SUM(E$17:E55))</f>
        <v>0</v>
      </c>
      <c r="E56" s="510">
        <f t="shared" si="13"/>
        <v>0</v>
      </c>
      <c r="F56" s="511">
        <f t="shared" si="14"/>
        <v>0</v>
      </c>
      <c r="G56" s="512">
        <f t="shared" si="15"/>
        <v>0</v>
      </c>
      <c r="H56" s="478">
        <f t="shared" si="16"/>
        <v>0</v>
      </c>
      <c r="I56" s="501">
        <f t="shared" si="6"/>
        <v>0</v>
      </c>
      <c r="J56" s="501"/>
      <c r="K56" s="513"/>
      <c r="L56" s="505">
        <f t="shared" si="17"/>
        <v>0</v>
      </c>
      <c r="M56" s="513"/>
      <c r="N56" s="505">
        <f t="shared" si="4"/>
        <v>0</v>
      </c>
      <c r="O56" s="505">
        <f t="shared" si="5"/>
        <v>0</v>
      </c>
      <c r="P56" s="279"/>
      <c r="R56" s="244"/>
      <c r="S56" s="244"/>
      <c r="T56" s="244"/>
      <c r="U56" s="244"/>
    </row>
    <row r="57" spans="2:21">
      <c r="B57" s="145" t="str">
        <f t="shared" si="0"/>
        <v/>
      </c>
      <c r="C57" s="496">
        <f>IF(D11="","-",+C56+1)</f>
        <v>2054</v>
      </c>
      <c r="D57" s="509">
        <f>IF(F56+SUM(E$17:E56)=D$10,F56,D$10-SUM(E$17:E56))</f>
        <v>0</v>
      </c>
      <c r="E57" s="510">
        <f t="shared" si="13"/>
        <v>0</v>
      </c>
      <c r="F57" s="511">
        <f t="shared" si="14"/>
        <v>0</v>
      </c>
      <c r="G57" s="512">
        <f t="shared" si="15"/>
        <v>0</v>
      </c>
      <c r="H57" s="478">
        <f t="shared" si="16"/>
        <v>0</v>
      </c>
      <c r="I57" s="501">
        <f t="shared" si="6"/>
        <v>0</v>
      </c>
      <c r="J57" s="501"/>
      <c r="K57" s="513"/>
      <c r="L57" s="505">
        <f t="shared" si="17"/>
        <v>0</v>
      </c>
      <c r="M57" s="513"/>
      <c r="N57" s="505">
        <f t="shared" si="4"/>
        <v>0</v>
      </c>
      <c r="O57" s="505">
        <f t="shared" si="5"/>
        <v>0</v>
      </c>
      <c r="P57" s="279"/>
      <c r="R57" s="244"/>
      <c r="S57" s="244"/>
      <c r="T57" s="244"/>
      <c r="U57" s="244"/>
    </row>
    <row r="58" spans="2:21">
      <c r="B58" s="145" t="str">
        <f t="shared" si="0"/>
        <v/>
      </c>
      <c r="C58" s="496">
        <f>IF(D11="","-",+C57+1)</f>
        <v>2055</v>
      </c>
      <c r="D58" s="509">
        <f>IF(F57+SUM(E$17:E57)=D$10,F57,D$10-SUM(E$17:E57))</f>
        <v>0</v>
      </c>
      <c r="E58" s="510">
        <f t="shared" si="13"/>
        <v>0</v>
      </c>
      <c r="F58" s="511">
        <f t="shared" si="14"/>
        <v>0</v>
      </c>
      <c r="G58" s="512">
        <f t="shared" si="15"/>
        <v>0</v>
      </c>
      <c r="H58" s="478">
        <f t="shared" si="16"/>
        <v>0</v>
      </c>
      <c r="I58" s="501">
        <f t="shared" si="6"/>
        <v>0</v>
      </c>
      <c r="J58" s="501"/>
      <c r="K58" s="513"/>
      <c r="L58" s="505">
        <f t="shared" si="17"/>
        <v>0</v>
      </c>
      <c r="M58" s="513"/>
      <c r="N58" s="505">
        <f t="shared" si="4"/>
        <v>0</v>
      </c>
      <c r="O58" s="505">
        <f t="shared" si="5"/>
        <v>0</v>
      </c>
      <c r="P58" s="279"/>
      <c r="R58" s="244"/>
      <c r="S58" s="244"/>
      <c r="T58" s="244"/>
      <c r="U58" s="244"/>
    </row>
    <row r="59" spans="2:21">
      <c r="B59" s="145" t="str">
        <f t="shared" si="0"/>
        <v/>
      </c>
      <c r="C59" s="496">
        <f>IF(D11="","-",+C58+1)</f>
        <v>2056</v>
      </c>
      <c r="D59" s="509">
        <f>IF(F58+SUM(E$17:E58)=D$10,F58,D$10-SUM(E$17:E58))</f>
        <v>0</v>
      </c>
      <c r="E59" s="510">
        <f t="shared" si="13"/>
        <v>0</v>
      </c>
      <c r="F59" s="511">
        <f t="shared" si="14"/>
        <v>0</v>
      </c>
      <c r="G59" s="512">
        <f t="shared" si="15"/>
        <v>0</v>
      </c>
      <c r="H59" s="478">
        <f t="shared" si="16"/>
        <v>0</v>
      </c>
      <c r="I59" s="501">
        <f t="shared" si="6"/>
        <v>0</v>
      </c>
      <c r="J59" s="501"/>
      <c r="K59" s="513"/>
      <c r="L59" s="505">
        <f t="shared" si="17"/>
        <v>0</v>
      </c>
      <c r="M59" s="513"/>
      <c r="N59" s="505">
        <f t="shared" si="4"/>
        <v>0</v>
      </c>
      <c r="O59" s="505">
        <f t="shared" si="5"/>
        <v>0</v>
      </c>
      <c r="P59" s="279"/>
      <c r="R59" s="244"/>
      <c r="S59" s="244"/>
      <c r="T59" s="244"/>
      <c r="U59" s="244"/>
    </row>
    <row r="60" spans="2:21">
      <c r="B60" s="145" t="str">
        <f t="shared" si="0"/>
        <v/>
      </c>
      <c r="C60" s="496">
        <f>IF(D11="","-",+C59+1)</f>
        <v>2057</v>
      </c>
      <c r="D60" s="509">
        <f>IF(F59+SUM(E$17:E59)=D$10,F59,D$10-SUM(E$17:E59))</f>
        <v>0</v>
      </c>
      <c r="E60" s="510">
        <f t="shared" si="13"/>
        <v>0</v>
      </c>
      <c r="F60" s="511">
        <f t="shared" si="14"/>
        <v>0</v>
      </c>
      <c r="G60" s="512">
        <f t="shared" si="15"/>
        <v>0</v>
      </c>
      <c r="H60" s="478">
        <f t="shared" si="16"/>
        <v>0</v>
      </c>
      <c r="I60" s="501">
        <f t="shared" si="6"/>
        <v>0</v>
      </c>
      <c r="J60" s="501"/>
      <c r="K60" s="513"/>
      <c r="L60" s="505">
        <f t="shared" si="17"/>
        <v>0</v>
      </c>
      <c r="M60" s="513"/>
      <c r="N60" s="505">
        <f t="shared" si="4"/>
        <v>0</v>
      </c>
      <c r="O60" s="505">
        <f t="shared" si="5"/>
        <v>0</v>
      </c>
      <c r="P60" s="279"/>
      <c r="R60" s="244"/>
      <c r="S60" s="244"/>
      <c r="T60" s="244"/>
      <c r="U60" s="244"/>
    </row>
    <row r="61" spans="2:21">
      <c r="B61" s="145" t="str">
        <f t="shared" si="0"/>
        <v/>
      </c>
      <c r="C61" s="496">
        <f>IF(D11="","-",+C60+1)</f>
        <v>2058</v>
      </c>
      <c r="D61" s="509">
        <f>IF(F60+SUM(E$17:E60)=D$10,F60,D$10-SUM(E$17:E60))</f>
        <v>0</v>
      </c>
      <c r="E61" s="510">
        <f t="shared" si="13"/>
        <v>0</v>
      </c>
      <c r="F61" s="511">
        <f t="shared" si="14"/>
        <v>0</v>
      </c>
      <c r="G61" s="512">
        <f t="shared" si="15"/>
        <v>0</v>
      </c>
      <c r="H61" s="478">
        <f t="shared" si="16"/>
        <v>0</v>
      </c>
      <c r="I61" s="501">
        <f t="shared" si="6"/>
        <v>0</v>
      </c>
      <c r="J61" s="501"/>
      <c r="K61" s="513"/>
      <c r="L61" s="505">
        <f t="shared" si="17"/>
        <v>0</v>
      </c>
      <c r="M61" s="513"/>
      <c r="N61" s="505">
        <f t="shared" si="4"/>
        <v>0</v>
      </c>
      <c r="O61" s="505">
        <f t="shared" si="5"/>
        <v>0</v>
      </c>
      <c r="P61" s="279"/>
      <c r="R61" s="244"/>
      <c r="S61" s="244"/>
      <c r="T61" s="244"/>
      <c r="U61" s="244"/>
    </row>
    <row r="62" spans="2:21">
      <c r="B62" s="145" t="str">
        <f t="shared" si="0"/>
        <v/>
      </c>
      <c r="C62" s="496">
        <f>IF(D11="","-",+C61+1)</f>
        <v>2059</v>
      </c>
      <c r="D62" s="509">
        <f>IF(F61+SUM(E$17:E61)=D$10,F61,D$10-SUM(E$17:E61))</f>
        <v>0</v>
      </c>
      <c r="E62" s="510">
        <f t="shared" si="13"/>
        <v>0</v>
      </c>
      <c r="F62" s="511">
        <f t="shared" si="14"/>
        <v>0</v>
      </c>
      <c r="G62" s="512">
        <f t="shared" si="15"/>
        <v>0</v>
      </c>
      <c r="H62" s="478">
        <f t="shared" si="16"/>
        <v>0</v>
      </c>
      <c r="I62" s="501">
        <f t="shared" si="6"/>
        <v>0</v>
      </c>
      <c r="J62" s="501"/>
      <c r="K62" s="513"/>
      <c r="L62" s="505">
        <f t="shared" si="17"/>
        <v>0</v>
      </c>
      <c r="M62" s="513"/>
      <c r="N62" s="505">
        <f t="shared" si="4"/>
        <v>0</v>
      </c>
      <c r="O62" s="505">
        <f t="shared" si="5"/>
        <v>0</v>
      </c>
      <c r="P62" s="279"/>
      <c r="R62" s="244"/>
      <c r="S62" s="244"/>
      <c r="T62" s="244"/>
      <c r="U62" s="244"/>
    </row>
    <row r="63" spans="2:21">
      <c r="B63" s="145" t="str">
        <f t="shared" si="0"/>
        <v/>
      </c>
      <c r="C63" s="496">
        <f>IF(D11="","-",+C62+1)</f>
        <v>2060</v>
      </c>
      <c r="D63" s="509">
        <f>IF(F62+SUM(E$17:E62)=D$10,F62,D$10-SUM(E$17:E62))</f>
        <v>0</v>
      </c>
      <c r="E63" s="510">
        <f t="shared" si="13"/>
        <v>0</v>
      </c>
      <c r="F63" s="511">
        <f t="shared" si="14"/>
        <v>0</v>
      </c>
      <c r="G63" s="512">
        <f t="shared" si="15"/>
        <v>0</v>
      </c>
      <c r="H63" s="478">
        <f t="shared" si="16"/>
        <v>0</v>
      </c>
      <c r="I63" s="501">
        <f t="shared" si="6"/>
        <v>0</v>
      </c>
      <c r="J63" s="501"/>
      <c r="K63" s="513"/>
      <c r="L63" s="505">
        <f t="shared" si="17"/>
        <v>0</v>
      </c>
      <c r="M63" s="513"/>
      <c r="N63" s="505">
        <f t="shared" si="4"/>
        <v>0</v>
      </c>
      <c r="O63" s="505">
        <f t="shared" si="5"/>
        <v>0</v>
      </c>
      <c r="P63" s="279"/>
      <c r="R63" s="244"/>
      <c r="S63" s="244"/>
      <c r="T63" s="244"/>
      <c r="U63" s="244"/>
    </row>
    <row r="64" spans="2:21">
      <c r="B64" s="145" t="str">
        <f t="shared" si="0"/>
        <v/>
      </c>
      <c r="C64" s="496">
        <f>IF(D11="","-",+C63+1)</f>
        <v>2061</v>
      </c>
      <c r="D64" s="509">
        <f>IF(F63+SUM(E$17:E63)=D$10,F63,D$10-SUM(E$17:E63))</f>
        <v>0</v>
      </c>
      <c r="E64" s="510">
        <f t="shared" si="13"/>
        <v>0</v>
      </c>
      <c r="F64" s="511">
        <f t="shared" si="14"/>
        <v>0</v>
      </c>
      <c r="G64" s="512">
        <f t="shared" si="15"/>
        <v>0</v>
      </c>
      <c r="H64" s="478">
        <f t="shared" si="16"/>
        <v>0</v>
      </c>
      <c r="I64" s="501">
        <f t="shared" si="6"/>
        <v>0</v>
      </c>
      <c r="J64" s="501"/>
      <c r="K64" s="513"/>
      <c r="L64" s="505">
        <f t="shared" si="17"/>
        <v>0</v>
      </c>
      <c r="M64" s="513"/>
      <c r="N64" s="505">
        <f t="shared" si="4"/>
        <v>0</v>
      </c>
      <c r="O64" s="505">
        <f t="shared" si="5"/>
        <v>0</v>
      </c>
      <c r="P64" s="279"/>
      <c r="R64" s="244"/>
      <c r="S64" s="244"/>
      <c r="T64" s="244"/>
      <c r="U64" s="244"/>
    </row>
    <row r="65" spans="2:21">
      <c r="B65" s="145" t="str">
        <f t="shared" si="0"/>
        <v/>
      </c>
      <c r="C65" s="496">
        <f>IF(D11="","-",+C64+1)</f>
        <v>2062</v>
      </c>
      <c r="D65" s="509">
        <f>IF(F64+SUM(E$17:E64)=D$10,F64,D$10-SUM(E$17:E64))</f>
        <v>0</v>
      </c>
      <c r="E65" s="510">
        <f t="shared" si="13"/>
        <v>0</v>
      </c>
      <c r="F65" s="511">
        <f t="shared" si="14"/>
        <v>0</v>
      </c>
      <c r="G65" s="512">
        <f t="shared" si="15"/>
        <v>0</v>
      </c>
      <c r="H65" s="478">
        <f t="shared" si="16"/>
        <v>0</v>
      </c>
      <c r="I65" s="501">
        <f t="shared" si="6"/>
        <v>0</v>
      </c>
      <c r="J65" s="501"/>
      <c r="K65" s="513"/>
      <c r="L65" s="505">
        <f t="shared" si="17"/>
        <v>0</v>
      </c>
      <c r="M65" s="513"/>
      <c r="N65" s="505">
        <f t="shared" si="4"/>
        <v>0</v>
      </c>
      <c r="O65" s="505">
        <f t="shared" si="5"/>
        <v>0</v>
      </c>
      <c r="P65" s="279"/>
      <c r="R65" s="244"/>
      <c r="S65" s="244"/>
      <c r="T65" s="244"/>
      <c r="U65" s="244"/>
    </row>
    <row r="66" spans="2:21">
      <c r="B66" s="145" t="str">
        <f t="shared" si="0"/>
        <v/>
      </c>
      <c r="C66" s="496">
        <f>IF(D11="","-",+C65+1)</f>
        <v>2063</v>
      </c>
      <c r="D66" s="509">
        <f>IF(F65+SUM(E$17:E65)=D$10,F65,D$10-SUM(E$17:E65))</f>
        <v>0</v>
      </c>
      <c r="E66" s="510">
        <f t="shared" si="13"/>
        <v>0</v>
      </c>
      <c r="F66" s="511">
        <f t="shared" si="14"/>
        <v>0</v>
      </c>
      <c r="G66" s="512">
        <f t="shared" si="15"/>
        <v>0</v>
      </c>
      <c r="H66" s="478">
        <f t="shared" si="16"/>
        <v>0</v>
      </c>
      <c r="I66" s="501">
        <f t="shared" si="6"/>
        <v>0</v>
      </c>
      <c r="J66" s="501"/>
      <c r="K66" s="513"/>
      <c r="L66" s="505">
        <f t="shared" si="17"/>
        <v>0</v>
      </c>
      <c r="M66" s="513"/>
      <c r="N66" s="505">
        <f t="shared" si="4"/>
        <v>0</v>
      </c>
      <c r="O66" s="505">
        <f t="shared" si="5"/>
        <v>0</v>
      </c>
      <c r="P66" s="279"/>
      <c r="R66" s="244"/>
      <c r="S66" s="244"/>
      <c r="T66" s="244"/>
      <c r="U66" s="244"/>
    </row>
    <row r="67" spans="2:21">
      <c r="B67" s="145" t="str">
        <f t="shared" si="0"/>
        <v/>
      </c>
      <c r="C67" s="496">
        <f>IF(D11="","-",+C66+1)</f>
        <v>2064</v>
      </c>
      <c r="D67" s="509">
        <f>IF(F66+SUM(E$17:E66)=D$10,F66,D$10-SUM(E$17:E66))</f>
        <v>0</v>
      </c>
      <c r="E67" s="510">
        <f t="shared" si="13"/>
        <v>0</v>
      </c>
      <c r="F67" s="511">
        <f t="shared" si="14"/>
        <v>0</v>
      </c>
      <c r="G67" s="512">
        <f t="shared" si="15"/>
        <v>0</v>
      </c>
      <c r="H67" s="478">
        <f t="shared" si="16"/>
        <v>0</v>
      </c>
      <c r="I67" s="501">
        <f t="shared" si="6"/>
        <v>0</v>
      </c>
      <c r="J67" s="501"/>
      <c r="K67" s="513"/>
      <c r="L67" s="505">
        <f t="shared" si="17"/>
        <v>0</v>
      </c>
      <c r="M67" s="513"/>
      <c r="N67" s="505">
        <f t="shared" si="4"/>
        <v>0</v>
      </c>
      <c r="O67" s="505">
        <f t="shared" si="5"/>
        <v>0</v>
      </c>
      <c r="P67" s="279"/>
      <c r="R67" s="244"/>
      <c r="S67" s="244"/>
      <c r="T67" s="244"/>
      <c r="U67" s="244"/>
    </row>
    <row r="68" spans="2:21">
      <c r="B68" s="145" t="str">
        <f t="shared" si="0"/>
        <v/>
      </c>
      <c r="C68" s="496">
        <f>IF(D11="","-",+C67+1)</f>
        <v>2065</v>
      </c>
      <c r="D68" s="509">
        <f>IF(F67+SUM(E$17:E67)=D$10,F67,D$10-SUM(E$17:E67))</f>
        <v>0</v>
      </c>
      <c r="E68" s="510">
        <f t="shared" si="13"/>
        <v>0</v>
      </c>
      <c r="F68" s="511">
        <f t="shared" si="14"/>
        <v>0</v>
      </c>
      <c r="G68" s="512">
        <f t="shared" si="15"/>
        <v>0</v>
      </c>
      <c r="H68" s="478">
        <f t="shared" si="16"/>
        <v>0</v>
      </c>
      <c r="I68" s="501">
        <f t="shared" si="6"/>
        <v>0</v>
      </c>
      <c r="J68" s="501"/>
      <c r="K68" s="513"/>
      <c r="L68" s="505">
        <f t="shared" si="17"/>
        <v>0</v>
      </c>
      <c r="M68" s="513"/>
      <c r="N68" s="505">
        <f t="shared" si="4"/>
        <v>0</v>
      </c>
      <c r="O68" s="505">
        <f t="shared" si="5"/>
        <v>0</v>
      </c>
      <c r="P68" s="279"/>
      <c r="R68" s="244"/>
      <c r="S68" s="244"/>
      <c r="T68" s="244"/>
      <c r="U68" s="244"/>
    </row>
    <row r="69" spans="2:21">
      <c r="B69" s="145" t="str">
        <f t="shared" si="0"/>
        <v/>
      </c>
      <c r="C69" s="496">
        <f>IF(D11="","-",+C68+1)</f>
        <v>2066</v>
      </c>
      <c r="D69" s="509">
        <f>IF(F68+SUM(E$17:E68)=D$10,F68,D$10-SUM(E$17:E68))</f>
        <v>0</v>
      </c>
      <c r="E69" s="510">
        <f t="shared" si="13"/>
        <v>0</v>
      </c>
      <c r="F69" s="511">
        <f t="shared" si="14"/>
        <v>0</v>
      </c>
      <c r="G69" s="512">
        <f t="shared" si="15"/>
        <v>0</v>
      </c>
      <c r="H69" s="478">
        <f t="shared" si="16"/>
        <v>0</v>
      </c>
      <c r="I69" s="501">
        <f t="shared" si="6"/>
        <v>0</v>
      </c>
      <c r="J69" s="501"/>
      <c r="K69" s="513"/>
      <c r="L69" s="505">
        <f t="shared" si="17"/>
        <v>0</v>
      </c>
      <c r="M69" s="513"/>
      <c r="N69" s="505">
        <f t="shared" si="4"/>
        <v>0</v>
      </c>
      <c r="O69" s="505">
        <f t="shared" si="5"/>
        <v>0</v>
      </c>
      <c r="P69" s="279"/>
      <c r="R69" s="244"/>
      <c r="S69" s="244"/>
      <c r="T69" s="244"/>
      <c r="U69" s="244"/>
    </row>
    <row r="70" spans="2:21">
      <c r="B70" s="145" t="str">
        <f t="shared" si="0"/>
        <v/>
      </c>
      <c r="C70" s="496">
        <f>IF(D11="","-",+C69+1)</f>
        <v>2067</v>
      </c>
      <c r="D70" s="509">
        <f>IF(F69+SUM(E$17:E69)=D$10,F69,D$10-SUM(E$17:E69))</f>
        <v>0</v>
      </c>
      <c r="E70" s="510">
        <f t="shared" si="13"/>
        <v>0</v>
      </c>
      <c r="F70" s="511">
        <f t="shared" si="14"/>
        <v>0</v>
      </c>
      <c r="G70" s="512">
        <f t="shared" si="15"/>
        <v>0</v>
      </c>
      <c r="H70" s="478">
        <f t="shared" si="16"/>
        <v>0</v>
      </c>
      <c r="I70" s="501">
        <f t="shared" si="6"/>
        <v>0</v>
      </c>
      <c r="J70" s="501"/>
      <c r="K70" s="513"/>
      <c r="L70" s="505">
        <f t="shared" si="17"/>
        <v>0</v>
      </c>
      <c r="M70" s="513"/>
      <c r="N70" s="505">
        <f t="shared" si="4"/>
        <v>0</v>
      </c>
      <c r="O70" s="505">
        <f t="shared" si="5"/>
        <v>0</v>
      </c>
      <c r="P70" s="279"/>
      <c r="R70" s="244"/>
      <c r="S70" s="244"/>
      <c r="T70" s="244"/>
      <c r="U70" s="244"/>
    </row>
    <row r="71" spans="2:21">
      <c r="B71" s="145" t="str">
        <f t="shared" si="0"/>
        <v/>
      </c>
      <c r="C71" s="496">
        <f>IF(D11="","-",+C70+1)</f>
        <v>2068</v>
      </c>
      <c r="D71" s="509">
        <f>IF(F70+SUM(E$17:E70)=D$10,F70,D$10-SUM(E$17:E70))</f>
        <v>0</v>
      </c>
      <c r="E71" s="510">
        <f t="shared" si="13"/>
        <v>0</v>
      </c>
      <c r="F71" s="511">
        <f t="shared" si="14"/>
        <v>0</v>
      </c>
      <c r="G71" s="512">
        <f t="shared" si="15"/>
        <v>0</v>
      </c>
      <c r="H71" s="478">
        <f t="shared" si="16"/>
        <v>0</v>
      </c>
      <c r="I71" s="501">
        <f t="shared" si="6"/>
        <v>0</v>
      </c>
      <c r="J71" s="501"/>
      <c r="K71" s="513"/>
      <c r="L71" s="505">
        <f t="shared" si="17"/>
        <v>0</v>
      </c>
      <c r="M71" s="513"/>
      <c r="N71" s="505">
        <f t="shared" si="4"/>
        <v>0</v>
      </c>
      <c r="O71" s="505">
        <f t="shared" si="5"/>
        <v>0</v>
      </c>
      <c r="P71" s="279"/>
      <c r="R71" s="244"/>
      <c r="S71" s="244"/>
      <c r="T71" s="244"/>
      <c r="U71" s="244"/>
    </row>
    <row r="72" spans="2:21">
      <c r="B72" s="145" t="str">
        <f t="shared" si="0"/>
        <v/>
      </c>
      <c r="C72" s="496">
        <f>IF(D11="","-",+C71+1)</f>
        <v>2069</v>
      </c>
      <c r="D72" s="509">
        <f>IF(F71+SUM(E$17:E71)=D$10,F71,D$10-SUM(E$17:E71))</f>
        <v>0</v>
      </c>
      <c r="E72" s="510">
        <f t="shared" si="13"/>
        <v>0</v>
      </c>
      <c r="F72" s="511">
        <f t="shared" si="14"/>
        <v>0</v>
      </c>
      <c r="G72" s="512">
        <f t="shared" si="15"/>
        <v>0</v>
      </c>
      <c r="H72" s="478">
        <f t="shared" si="16"/>
        <v>0</v>
      </c>
      <c r="I72" s="501">
        <f t="shared" si="6"/>
        <v>0</v>
      </c>
      <c r="J72" s="501"/>
      <c r="K72" s="513"/>
      <c r="L72" s="505">
        <f t="shared" si="17"/>
        <v>0</v>
      </c>
      <c r="M72" s="513"/>
      <c r="N72" s="505">
        <f t="shared" si="4"/>
        <v>0</v>
      </c>
      <c r="O72" s="505">
        <f t="shared" si="5"/>
        <v>0</v>
      </c>
      <c r="P72" s="279"/>
      <c r="R72" s="244"/>
      <c r="S72" s="244"/>
      <c r="T72" s="244"/>
      <c r="U72" s="244"/>
    </row>
    <row r="73" spans="2:21" ht="13.5" thickBot="1">
      <c r="B73" s="145" t="str">
        <f t="shared" si="0"/>
        <v/>
      </c>
      <c r="C73" s="525">
        <f>IF(D11="","-",+C72+1)</f>
        <v>2070</v>
      </c>
      <c r="D73" s="526">
        <f>IF(F72+SUM(E$17:E72)=D$10,F72,D$10-SUM(E$17:E72))</f>
        <v>0</v>
      </c>
      <c r="E73" s="527">
        <f t="shared" si="13"/>
        <v>0</v>
      </c>
      <c r="F73" s="528">
        <f t="shared" si="14"/>
        <v>0</v>
      </c>
      <c r="G73" s="612">
        <f t="shared" si="15"/>
        <v>0</v>
      </c>
      <c r="H73" s="459">
        <f t="shared" si="16"/>
        <v>0</v>
      </c>
      <c r="I73" s="530">
        <f t="shared" si="6"/>
        <v>0</v>
      </c>
      <c r="J73" s="501"/>
      <c r="K73" s="531"/>
      <c r="L73" s="532">
        <f t="shared" si="17"/>
        <v>0</v>
      </c>
      <c r="M73" s="531"/>
      <c r="N73" s="532">
        <f t="shared" si="4"/>
        <v>0</v>
      </c>
      <c r="O73" s="532">
        <f t="shared" si="5"/>
        <v>0</v>
      </c>
      <c r="P73" s="279"/>
      <c r="R73" s="244"/>
      <c r="S73" s="244"/>
      <c r="T73" s="244"/>
      <c r="U73" s="244"/>
    </row>
    <row r="74" spans="2:21">
      <c r="C74" s="350" t="s">
        <v>75</v>
      </c>
      <c r="D74" s="295"/>
      <c r="E74" s="295">
        <f>SUM(E17:E73)</f>
        <v>10218097.999999996</v>
      </c>
      <c r="F74" s="295"/>
      <c r="G74" s="295">
        <f>SUM(G17:G73)</f>
        <v>30676910.330003135</v>
      </c>
      <c r="H74" s="295">
        <f>SUM(H17:H73)</f>
        <v>30676910.330003135</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7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1249308.9096017922</v>
      </c>
      <c r="N88" s="545">
        <f>IF(J93&lt;D11,0,VLOOKUP(J93,C17:O73,11))</f>
        <v>1249308.9096017922</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1389012.6064432291</v>
      </c>
      <c r="N89" s="549">
        <f>IF(J93&lt;D11,0,VLOOKUP(J93,C100:P155,7))</f>
        <v>1389012.6064432291</v>
      </c>
      <c r="O89" s="550">
        <f>+N89-M89</f>
        <v>0</v>
      </c>
      <c r="P89" s="244"/>
      <c r="Q89" s="244"/>
      <c r="R89" s="244"/>
      <c r="S89" s="244"/>
      <c r="T89" s="244"/>
      <c r="U89" s="244"/>
    </row>
    <row r="90" spans="1:21" ht="13.5" thickBot="1">
      <c r="C90" s="455" t="s">
        <v>82</v>
      </c>
      <c r="D90" s="551" t="str">
        <f>+D7</f>
        <v xml:space="preserve">Cornville Station Conversion </v>
      </c>
      <c r="E90" s="244"/>
      <c r="F90" s="244"/>
      <c r="G90" s="244"/>
      <c r="H90" s="244"/>
      <c r="I90" s="326"/>
      <c r="J90" s="326"/>
      <c r="K90" s="552"/>
      <c r="L90" s="553" t="s">
        <v>135</v>
      </c>
      <c r="M90" s="554">
        <f>+M89-M88</f>
        <v>139703.6968414369</v>
      </c>
      <c r="N90" s="554">
        <f>+N89-N88</f>
        <v>139703.6968414369</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TP2011093</v>
      </c>
      <c r="E92" s="559"/>
      <c r="F92" s="559"/>
      <c r="G92" s="559"/>
      <c r="H92" s="559"/>
      <c r="I92" s="559"/>
      <c r="J92" s="559"/>
      <c r="K92" s="561"/>
      <c r="P92" s="469"/>
      <c r="Q92" s="244"/>
      <c r="R92" s="244"/>
      <c r="S92" s="244"/>
      <c r="T92" s="244"/>
      <c r="U92" s="244"/>
    </row>
    <row r="93" spans="1:21">
      <c r="C93" s="473" t="s">
        <v>49</v>
      </c>
      <c r="D93" s="471">
        <f>IF(D11=I10,0,D10)</f>
        <v>10218098</v>
      </c>
      <c r="E93" s="249" t="s">
        <v>84</v>
      </c>
      <c r="H93" s="409"/>
      <c r="I93" s="409"/>
      <c r="J93" s="472">
        <f>+'OKT.WS.G.BPU.ATRR.True-up'!M16</f>
        <v>2021</v>
      </c>
      <c r="K93" s="468"/>
      <c r="L93" s="295" t="s">
        <v>85</v>
      </c>
      <c r="P93" s="279"/>
      <c r="Q93" s="244"/>
      <c r="R93" s="244"/>
      <c r="S93" s="244"/>
      <c r="T93" s="244"/>
      <c r="U93" s="244"/>
    </row>
    <row r="94" spans="1:21">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10</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408723.92</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55" si="18">IF(D100=F99,"","IU")</f>
        <v>IU</v>
      </c>
      <c r="C100" s="496">
        <f>IF(D94= "","-",D94)</f>
        <v>2014</v>
      </c>
      <c r="D100" s="613">
        <v>0</v>
      </c>
      <c r="E100" s="614">
        <v>102248.51895114942</v>
      </c>
      <c r="F100" s="615">
        <v>10064175.65104885</v>
      </c>
      <c r="G100" s="616">
        <v>5032087.8255244251</v>
      </c>
      <c r="H100" s="616">
        <v>643416.4924496013</v>
      </c>
      <c r="I100" s="616">
        <v>643416.4924496013</v>
      </c>
      <c r="J100" s="617">
        <v>0</v>
      </c>
      <c r="K100" s="505"/>
      <c r="L100" s="507">
        <f t="shared" ref="L100:L105" si="19">H100</f>
        <v>643416.4924496013</v>
      </c>
      <c r="M100" s="505">
        <f t="shared" ref="M100:M105" si="20">IF(L100&lt;&gt;0,+H100-L100,0)</f>
        <v>0</v>
      </c>
      <c r="N100" s="507">
        <f t="shared" ref="N100:N105" si="21">I100</f>
        <v>643416.4924496013</v>
      </c>
      <c r="O100" s="505">
        <f>IF(N100&lt;&gt;0,+I100-N100,0)</f>
        <v>0</v>
      </c>
      <c r="P100" s="505">
        <f>+O100-M100</f>
        <v>0</v>
      </c>
      <c r="Q100" s="244"/>
      <c r="R100" s="244"/>
      <c r="S100" s="244"/>
      <c r="T100" s="244"/>
      <c r="U100" s="244"/>
    </row>
    <row r="101" spans="1:21">
      <c r="B101" s="145" t="str">
        <f t="shared" si="18"/>
        <v>IU</v>
      </c>
      <c r="C101" s="496">
        <f>IF(D94="","-",+C100+1)</f>
        <v>2015</v>
      </c>
      <c r="D101" s="618">
        <v>10115489.48104885</v>
      </c>
      <c r="E101" s="618">
        <v>212869.54166666666</v>
      </c>
      <c r="F101" s="618">
        <v>9902619.9393821843</v>
      </c>
      <c r="G101" s="618">
        <v>10009054.710215516</v>
      </c>
      <c r="H101" s="618">
        <v>1327171.8833094309</v>
      </c>
      <c r="I101" s="618">
        <v>1327171.8833094309</v>
      </c>
      <c r="J101" s="618">
        <v>0</v>
      </c>
      <c r="K101" s="505"/>
      <c r="L101" s="507">
        <f t="shared" si="19"/>
        <v>1327171.8833094309</v>
      </c>
      <c r="M101" s="505">
        <f t="shared" si="20"/>
        <v>0</v>
      </c>
      <c r="N101" s="507">
        <f t="shared" si="21"/>
        <v>1327171.8833094309</v>
      </c>
      <c r="O101" s="505">
        <f t="shared" ref="O101:O131" si="22">IF(N101&lt;&gt;0,+I101-N101,0)</f>
        <v>0</v>
      </c>
      <c r="P101" s="505">
        <f t="shared" ref="P101:P131" si="23">+O101-M101</f>
        <v>0</v>
      </c>
      <c r="Q101" s="244"/>
      <c r="R101" s="244"/>
      <c r="S101" s="244"/>
      <c r="T101" s="244"/>
      <c r="U101" s="244"/>
    </row>
    <row r="102" spans="1:21">
      <c r="B102" s="145" t="str">
        <f t="shared" si="18"/>
        <v>IU</v>
      </c>
      <c r="C102" s="496">
        <f>IF(D94="","-",+C101+1)</f>
        <v>2016</v>
      </c>
      <c r="D102" s="618">
        <v>9902979.9393821843</v>
      </c>
      <c r="E102" s="618">
        <v>200354.86274509804</v>
      </c>
      <c r="F102" s="618">
        <v>9702625.0766370855</v>
      </c>
      <c r="G102" s="618">
        <v>9802802.5080096349</v>
      </c>
      <c r="H102" s="618">
        <v>1262679.2712885526</v>
      </c>
      <c r="I102" s="618">
        <v>1262679.2712885526</v>
      </c>
      <c r="J102" s="505">
        <f t="shared" ref="J102:J155" si="24">+I102-H102</f>
        <v>0</v>
      </c>
      <c r="K102" s="505"/>
      <c r="L102" s="507">
        <f t="shared" si="19"/>
        <v>1262679.2712885526</v>
      </c>
      <c r="M102" s="505">
        <f t="shared" si="20"/>
        <v>0</v>
      </c>
      <c r="N102" s="507">
        <f t="shared" si="21"/>
        <v>1262679.2712885526</v>
      </c>
      <c r="O102" s="505">
        <f>IF(N102&lt;&gt;0,+I102-N102,0)</f>
        <v>0</v>
      </c>
      <c r="P102" s="505">
        <f>+O102-M102</f>
        <v>0</v>
      </c>
      <c r="Q102" s="244"/>
      <c r="R102" s="244"/>
      <c r="S102" s="244"/>
      <c r="T102" s="244"/>
      <c r="U102" s="244"/>
    </row>
    <row r="103" spans="1:21">
      <c r="B103" s="145" t="str">
        <f t="shared" si="18"/>
        <v/>
      </c>
      <c r="C103" s="496">
        <f>IF(D94="","-",+C102+1)</f>
        <v>2017</v>
      </c>
      <c r="D103" s="618">
        <v>9702625.0766370855</v>
      </c>
      <c r="E103" s="618">
        <v>255452.45</v>
      </c>
      <c r="F103" s="618">
        <v>9447172.6266370863</v>
      </c>
      <c r="G103" s="618">
        <v>9574898.8516370859</v>
      </c>
      <c r="H103" s="618">
        <v>1378931.4814948814</v>
      </c>
      <c r="I103" s="618">
        <v>1378931.4814948814</v>
      </c>
      <c r="J103" s="505">
        <f t="shared" si="24"/>
        <v>0</v>
      </c>
      <c r="K103" s="505"/>
      <c r="L103" s="507">
        <f t="shared" si="19"/>
        <v>1378931.4814948814</v>
      </c>
      <c r="M103" s="505">
        <f t="shared" si="20"/>
        <v>0</v>
      </c>
      <c r="N103" s="507">
        <f t="shared" si="21"/>
        <v>1378931.4814948814</v>
      </c>
      <c r="O103" s="505">
        <f>IF(N103&lt;&gt;0,+I103-N103,0)</f>
        <v>0</v>
      </c>
      <c r="P103" s="505">
        <f>+O103-M103</f>
        <v>0</v>
      </c>
      <c r="Q103" s="244"/>
      <c r="R103" s="244"/>
      <c r="S103" s="244"/>
      <c r="T103" s="244"/>
      <c r="U103" s="244"/>
    </row>
    <row r="104" spans="1:21">
      <c r="B104" s="145" t="str">
        <f t="shared" si="18"/>
        <v/>
      </c>
      <c r="C104" s="496">
        <f>IF(D94="","-",+C103+1)</f>
        <v>2018</v>
      </c>
      <c r="D104" s="618">
        <v>9447172.6266370863</v>
      </c>
      <c r="E104" s="618">
        <v>283836.05555555556</v>
      </c>
      <c r="F104" s="618">
        <v>9163336.5710815303</v>
      </c>
      <c r="G104" s="618">
        <v>9305254.5988593083</v>
      </c>
      <c r="H104" s="618">
        <v>1266121.5205016474</v>
      </c>
      <c r="I104" s="618">
        <v>1266121.5205016474</v>
      </c>
      <c r="J104" s="505">
        <f t="shared" si="24"/>
        <v>0</v>
      </c>
      <c r="K104" s="505"/>
      <c r="L104" s="507">
        <f t="shared" si="19"/>
        <v>1266121.5205016474</v>
      </c>
      <c r="M104" s="505">
        <f t="shared" si="20"/>
        <v>0</v>
      </c>
      <c r="N104" s="507">
        <f t="shared" si="21"/>
        <v>1266121.5205016474</v>
      </c>
      <c r="O104" s="505">
        <f>IF(N104&lt;&gt;0,+I104-N104,0)</f>
        <v>0</v>
      </c>
      <c r="P104" s="505">
        <f>+O104-M104</f>
        <v>0</v>
      </c>
      <c r="Q104" s="244"/>
      <c r="R104" s="244"/>
      <c r="S104" s="244"/>
      <c r="T104" s="244"/>
      <c r="U104" s="244"/>
    </row>
    <row r="105" spans="1:21">
      <c r="B105" s="145" t="str">
        <f t="shared" si="18"/>
        <v/>
      </c>
      <c r="C105" s="496">
        <f>IF(D94="","-",+C104+1)</f>
        <v>2019</v>
      </c>
      <c r="D105" s="618">
        <v>9163336.5710815303</v>
      </c>
      <c r="E105" s="618">
        <v>283836.05555555556</v>
      </c>
      <c r="F105" s="618">
        <v>8879500.5155259743</v>
      </c>
      <c r="G105" s="618">
        <v>9021418.5433037523</v>
      </c>
      <c r="H105" s="618">
        <v>1236159.0913345795</v>
      </c>
      <c r="I105" s="618">
        <v>1236159.0913345795</v>
      </c>
      <c r="J105" s="505">
        <f t="shared" si="24"/>
        <v>0</v>
      </c>
      <c r="K105" s="505"/>
      <c r="L105" s="507">
        <f t="shared" si="19"/>
        <v>1236159.0913345795</v>
      </c>
      <c r="M105" s="505">
        <f t="shared" si="20"/>
        <v>0</v>
      </c>
      <c r="N105" s="507">
        <f t="shared" si="21"/>
        <v>1236159.0913345795</v>
      </c>
      <c r="O105" s="505">
        <f>IF(N105&lt;&gt;0,+I105-N105,0)</f>
        <v>0</v>
      </c>
      <c r="P105" s="505">
        <f t="shared" si="23"/>
        <v>0</v>
      </c>
      <c r="Q105" s="244"/>
      <c r="R105" s="244"/>
      <c r="S105" s="244"/>
      <c r="T105" s="244"/>
      <c r="U105" s="244"/>
    </row>
    <row r="106" spans="1:21">
      <c r="B106" s="145" t="str">
        <f t="shared" si="18"/>
        <v/>
      </c>
      <c r="C106" s="496">
        <f>IF(D94="","-",+C105+1)</f>
        <v>2020</v>
      </c>
      <c r="D106" s="618">
        <v>8879500.5155259743</v>
      </c>
      <c r="E106" s="618">
        <v>364932.07142857142</v>
      </c>
      <c r="F106" s="618">
        <v>8514568.4440974034</v>
      </c>
      <c r="G106" s="618">
        <v>8697034.4798116889</v>
      </c>
      <c r="H106" s="618">
        <v>1290413.9410906809</v>
      </c>
      <c r="I106" s="618">
        <v>1290413.9410906809</v>
      </c>
      <c r="J106" s="505">
        <f t="shared" si="24"/>
        <v>0</v>
      </c>
      <c r="K106" s="505"/>
      <c r="L106" s="507">
        <f t="shared" ref="L106" si="25">H106</f>
        <v>1290413.9410906809</v>
      </c>
      <c r="M106" s="505">
        <f t="shared" ref="M106" si="26">IF(L106&lt;&gt;0,+H106-L106,0)</f>
        <v>0</v>
      </c>
      <c r="N106" s="507">
        <f t="shared" ref="N106" si="27">I106</f>
        <v>1290413.9410906809</v>
      </c>
      <c r="O106" s="505">
        <f t="shared" si="22"/>
        <v>0</v>
      </c>
      <c r="P106" s="505">
        <f t="shared" si="23"/>
        <v>0</v>
      </c>
      <c r="Q106" s="244"/>
      <c r="R106" s="244"/>
      <c r="S106" s="244"/>
      <c r="T106" s="244"/>
      <c r="U106" s="244"/>
    </row>
    <row r="107" spans="1:21">
      <c r="B107" s="145" t="str">
        <f t="shared" si="18"/>
        <v/>
      </c>
      <c r="C107" s="496">
        <f>IF(D94="","-",+C106+1)</f>
        <v>2021</v>
      </c>
      <c r="D107" s="350">
        <f>IF(F106+SUM(E$100:E106)=D$93,F106,D$93-SUM(E$100:E106))</f>
        <v>8514568.4440974034</v>
      </c>
      <c r="E107" s="510">
        <f t="shared" ref="E107:E155" si="28">IF(+$J$97&lt;F106,$J$97,D107)</f>
        <v>408723.92</v>
      </c>
      <c r="F107" s="511">
        <f t="shared" ref="F107:F155" si="29">+D107-E107</f>
        <v>8105844.5240974035</v>
      </c>
      <c r="G107" s="511">
        <f t="shared" ref="G107:G155" si="30">+(F107+D107)/2</f>
        <v>8310206.4840974035</v>
      </c>
      <c r="H107" s="646">
        <f t="shared" ref="H107:H155" si="31">(D107+F107)/2*J$95+E107</f>
        <v>1389012.6064432291</v>
      </c>
      <c r="I107" s="573">
        <f t="shared" ref="I107:I155" si="32">+J$96*G107+E107</f>
        <v>1389012.6064432291</v>
      </c>
      <c r="J107" s="505">
        <f t="shared" si="24"/>
        <v>0</v>
      </c>
      <c r="K107" s="505"/>
      <c r="L107" s="513"/>
      <c r="M107" s="505">
        <f t="shared" ref="M107:M131" si="33">IF(L107&lt;&gt;0,+H107-L107,0)</f>
        <v>0</v>
      </c>
      <c r="N107" s="513"/>
      <c r="O107" s="505">
        <f t="shared" si="22"/>
        <v>0</v>
      </c>
      <c r="P107" s="505">
        <f t="shared" si="23"/>
        <v>0</v>
      </c>
      <c r="Q107" s="244"/>
      <c r="R107" s="244"/>
      <c r="S107" s="244"/>
      <c r="T107" s="244"/>
      <c r="U107" s="244"/>
    </row>
    <row r="108" spans="1:21">
      <c r="B108" s="145" t="str">
        <f t="shared" si="18"/>
        <v/>
      </c>
      <c r="C108" s="496">
        <f>IF(D94="","-",+C107+1)</f>
        <v>2022</v>
      </c>
      <c r="D108" s="350">
        <f>IF(F107+SUM(E$100:E107)=D$93,F107,D$93-SUM(E$100:E107))</f>
        <v>8105844.5240974035</v>
      </c>
      <c r="E108" s="510">
        <f t="shared" si="28"/>
        <v>408723.92</v>
      </c>
      <c r="F108" s="511">
        <f t="shared" si="29"/>
        <v>7697120.6040974036</v>
      </c>
      <c r="G108" s="511">
        <f t="shared" si="30"/>
        <v>7901482.5640974035</v>
      </c>
      <c r="H108" s="646">
        <f t="shared" si="31"/>
        <v>1340798.7100230313</v>
      </c>
      <c r="I108" s="573">
        <f t="shared" si="32"/>
        <v>1340798.7100230313</v>
      </c>
      <c r="J108" s="505">
        <f t="shared" si="24"/>
        <v>0</v>
      </c>
      <c r="K108" s="505"/>
      <c r="L108" s="513"/>
      <c r="M108" s="505">
        <f t="shared" si="33"/>
        <v>0</v>
      </c>
      <c r="N108" s="513"/>
      <c r="O108" s="505">
        <f t="shared" si="22"/>
        <v>0</v>
      </c>
      <c r="P108" s="505">
        <f t="shared" si="23"/>
        <v>0</v>
      </c>
      <c r="Q108" s="244"/>
      <c r="R108" s="244"/>
      <c r="S108" s="244"/>
      <c r="T108" s="244"/>
      <c r="U108" s="244"/>
    </row>
    <row r="109" spans="1:21">
      <c r="B109" s="145" t="str">
        <f t="shared" si="18"/>
        <v/>
      </c>
      <c r="C109" s="496">
        <f>IF(D94="","-",+C108+1)</f>
        <v>2023</v>
      </c>
      <c r="D109" s="350">
        <f>IF(F108+SUM(E$100:E108)=D$93,F108,D$93-SUM(E$100:E108))</f>
        <v>7697120.6040974036</v>
      </c>
      <c r="E109" s="510">
        <f t="shared" si="28"/>
        <v>408723.92</v>
      </c>
      <c r="F109" s="511">
        <f t="shared" si="29"/>
        <v>7288396.6840974037</v>
      </c>
      <c r="G109" s="511">
        <f t="shared" si="30"/>
        <v>7492758.6440974036</v>
      </c>
      <c r="H109" s="646">
        <f t="shared" si="31"/>
        <v>1292584.8136028335</v>
      </c>
      <c r="I109" s="573">
        <f t="shared" si="32"/>
        <v>1292584.8136028335</v>
      </c>
      <c r="J109" s="505">
        <f t="shared" si="24"/>
        <v>0</v>
      </c>
      <c r="K109" s="505"/>
      <c r="L109" s="513"/>
      <c r="M109" s="505">
        <f t="shared" si="33"/>
        <v>0</v>
      </c>
      <c r="N109" s="513"/>
      <c r="O109" s="505">
        <f t="shared" si="22"/>
        <v>0</v>
      </c>
      <c r="P109" s="505">
        <f t="shared" si="23"/>
        <v>0</v>
      </c>
      <c r="Q109" s="244"/>
      <c r="R109" s="244"/>
      <c r="S109" s="244"/>
      <c r="T109" s="244"/>
      <c r="U109" s="244"/>
    </row>
    <row r="110" spans="1:21">
      <c r="B110" s="145" t="str">
        <f t="shared" si="18"/>
        <v/>
      </c>
      <c r="C110" s="496">
        <f>IF(D94="","-",+C109+1)</f>
        <v>2024</v>
      </c>
      <c r="D110" s="350">
        <f>IF(F109+SUM(E$100:E109)=D$93,F109,D$93-SUM(E$100:E109))</f>
        <v>7288396.6840974037</v>
      </c>
      <c r="E110" s="510">
        <f t="shared" si="28"/>
        <v>408723.92</v>
      </c>
      <c r="F110" s="511">
        <f t="shared" si="29"/>
        <v>6879672.7640974037</v>
      </c>
      <c r="G110" s="511">
        <f t="shared" si="30"/>
        <v>7084034.7240974037</v>
      </c>
      <c r="H110" s="646">
        <f t="shared" si="31"/>
        <v>1244370.917182636</v>
      </c>
      <c r="I110" s="573">
        <f t="shared" si="32"/>
        <v>1244370.917182636</v>
      </c>
      <c r="J110" s="505">
        <f t="shared" si="24"/>
        <v>0</v>
      </c>
      <c r="K110" s="505"/>
      <c r="L110" s="513"/>
      <c r="M110" s="505">
        <f t="shared" si="33"/>
        <v>0</v>
      </c>
      <c r="N110" s="513"/>
      <c r="O110" s="505">
        <f t="shared" si="22"/>
        <v>0</v>
      </c>
      <c r="P110" s="505">
        <f t="shared" si="23"/>
        <v>0</v>
      </c>
      <c r="Q110" s="244"/>
      <c r="R110" s="244"/>
      <c r="S110" s="244"/>
      <c r="T110" s="244"/>
      <c r="U110" s="244"/>
    </row>
    <row r="111" spans="1:21">
      <c r="B111" s="145" t="str">
        <f t="shared" si="18"/>
        <v/>
      </c>
      <c r="C111" s="496">
        <f>IF(D94="","-",+C110+1)</f>
        <v>2025</v>
      </c>
      <c r="D111" s="350">
        <f>IF(F110+SUM(E$100:E110)=D$93,F110,D$93-SUM(E$100:E110))</f>
        <v>6879672.7640974037</v>
      </c>
      <c r="E111" s="510">
        <f t="shared" si="28"/>
        <v>408723.92</v>
      </c>
      <c r="F111" s="511">
        <f t="shared" si="29"/>
        <v>6470948.8440974038</v>
      </c>
      <c r="G111" s="511">
        <f t="shared" si="30"/>
        <v>6675310.8040974038</v>
      </c>
      <c r="H111" s="646">
        <f t="shared" si="31"/>
        <v>1196157.0207624382</v>
      </c>
      <c r="I111" s="573">
        <f t="shared" si="32"/>
        <v>1196157.0207624382</v>
      </c>
      <c r="J111" s="505">
        <f t="shared" si="24"/>
        <v>0</v>
      </c>
      <c r="K111" s="505"/>
      <c r="L111" s="513"/>
      <c r="M111" s="505">
        <f t="shared" si="33"/>
        <v>0</v>
      </c>
      <c r="N111" s="513"/>
      <c r="O111" s="505">
        <f t="shared" si="22"/>
        <v>0</v>
      </c>
      <c r="P111" s="505">
        <f t="shared" si="23"/>
        <v>0</v>
      </c>
      <c r="Q111" s="244"/>
      <c r="R111" s="244"/>
      <c r="S111" s="244"/>
      <c r="T111" s="244"/>
      <c r="U111" s="244"/>
    </row>
    <row r="112" spans="1:21">
      <c r="B112" s="145" t="str">
        <f t="shared" si="18"/>
        <v/>
      </c>
      <c r="C112" s="496">
        <f>IF(D94="","-",+C111+1)</f>
        <v>2026</v>
      </c>
      <c r="D112" s="350">
        <f>IF(F111+SUM(E$100:E111)=D$93,F111,D$93-SUM(E$100:E111))</f>
        <v>6470948.8440974038</v>
      </c>
      <c r="E112" s="510">
        <f t="shared" si="28"/>
        <v>408723.92</v>
      </c>
      <c r="F112" s="511">
        <f t="shared" si="29"/>
        <v>6062224.9240974039</v>
      </c>
      <c r="G112" s="511">
        <f t="shared" si="30"/>
        <v>6266586.8840974038</v>
      </c>
      <c r="H112" s="646">
        <f t="shared" si="31"/>
        <v>1147943.1243422406</v>
      </c>
      <c r="I112" s="573">
        <f t="shared" si="32"/>
        <v>1147943.1243422406</v>
      </c>
      <c r="J112" s="505">
        <f t="shared" si="24"/>
        <v>0</v>
      </c>
      <c r="K112" s="505"/>
      <c r="L112" s="513"/>
      <c r="M112" s="505">
        <f t="shared" si="33"/>
        <v>0</v>
      </c>
      <c r="N112" s="513"/>
      <c r="O112" s="505">
        <f t="shared" si="22"/>
        <v>0</v>
      </c>
      <c r="P112" s="505">
        <f t="shared" si="23"/>
        <v>0</v>
      </c>
      <c r="Q112" s="244"/>
      <c r="R112" s="244"/>
      <c r="S112" s="244"/>
      <c r="T112" s="244"/>
      <c r="U112" s="244"/>
    </row>
    <row r="113" spans="2:21">
      <c r="B113" s="145" t="str">
        <f t="shared" si="18"/>
        <v/>
      </c>
      <c r="C113" s="496">
        <f>IF(D94="","-",+C112+1)</f>
        <v>2027</v>
      </c>
      <c r="D113" s="350">
        <f>IF(F112+SUM(E$100:E112)=D$93,F112,D$93-SUM(E$100:E112))</f>
        <v>6062224.9240974039</v>
      </c>
      <c r="E113" s="510">
        <f t="shared" si="28"/>
        <v>408723.92</v>
      </c>
      <c r="F113" s="511">
        <f t="shared" si="29"/>
        <v>5653501.004097404</v>
      </c>
      <c r="G113" s="511">
        <f t="shared" si="30"/>
        <v>5857862.9640974039</v>
      </c>
      <c r="H113" s="646">
        <f t="shared" si="31"/>
        <v>1099729.2279220428</v>
      </c>
      <c r="I113" s="573">
        <f t="shared" si="32"/>
        <v>1099729.2279220428</v>
      </c>
      <c r="J113" s="505">
        <f t="shared" si="24"/>
        <v>0</v>
      </c>
      <c r="K113" s="505"/>
      <c r="L113" s="513"/>
      <c r="M113" s="505">
        <f t="shared" si="33"/>
        <v>0</v>
      </c>
      <c r="N113" s="513"/>
      <c r="O113" s="505">
        <f t="shared" si="22"/>
        <v>0</v>
      </c>
      <c r="P113" s="505">
        <f t="shared" si="23"/>
        <v>0</v>
      </c>
      <c r="Q113" s="244"/>
      <c r="R113" s="244"/>
      <c r="S113" s="244"/>
      <c r="T113" s="244"/>
      <c r="U113" s="244"/>
    </row>
    <row r="114" spans="2:21">
      <c r="B114" s="145" t="str">
        <f t="shared" si="18"/>
        <v/>
      </c>
      <c r="C114" s="496">
        <f>IF(D94="","-",+C113+1)</f>
        <v>2028</v>
      </c>
      <c r="D114" s="350">
        <f>IF(F113+SUM(E$100:E113)=D$93,F113,D$93-SUM(E$100:E113))</f>
        <v>5653501.004097404</v>
      </c>
      <c r="E114" s="510">
        <f t="shared" si="28"/>
        <v>408723.92</v>
      </c>
      <c r="F114" s="511">
        <f t="shared" si="29"/>
        <v>5244777.084097404</v>
      </c>
      <c r="G114" s="511">
        <f t="shared" si="30"/>
        <v>5449139.044097404</v>
      </c>
      <c r="H114" s="646">
        <f t="shared" si="31"/>
        <v>1051515.3315018453</v>
      </c>
      <c r="I114" s="573">
        <f t="shared" si="32"/>
        <v>1051515.3315018453</v>
      </c>
      <c r="J114" s="505">
        <f t="shared" si="24"/>
        <v>0</v>
      </c>
      <c r="K114" s="505"/>
      <c r="L114" s="513"/>
      <c r="M114" s="505">
        <f t="shared" si="33"/>
        <v>0</v>
      </c>
      <c r="N114" s="513"/>
      <c r="O114" s="505">
        <f t="shared" si="22"/>
        <v>0</v>
      </c>
      <c r="P114" s="505">
        <f t="shared" si="23"/>
        <v>0</v>
      </c>
      <c r="Q114" s="244"/>
      <c r="R114" s="244"/>
      <c r="S114" s="244"/>
      <c r="T114" s="244"/>
      <c r="U114" s="244"/>
    </row>
    <row r="115" spans="2:21">
      <c r="B115" s="145" t="str">
        <f t="shared" si="18"/>
        <v/>
      </c>
      <c r="C115" s="496">
        <f>IF(D94="","-",+C114+1)</f>
        <v>2029</v>
      </c>
      <c r="D115" s="350">
        <f>IF(F114+SUM(E$100:E114)=D$93,F114,D$93-SUM(E$100:E114))</f>
        <v>5244777.084097404</v>
      </c>
      <c r="E115" s="510">
        <f t="shared" si="28"/>
        <v>408723.92</v>
      </c>
      <c r="F115" s="511">
        <f t="shared" si="29"/>
        <v>4836053.1640974041</v>
      </c>
      <c r="G115" s="511">
        <f t="shared" si="30"/>
        <v>5040415.1240974041</v>
      </c>
      <c r="H115" s="646">
        <f t="shared" si="31"/>
        <v>1003301.4350816475</v>
      </c>
      <c r="I115" s="573">
        <f t="shared" si="32"/>
        <v>1003301.4350816475</v>
      </c>
      <c r="J115" s="505">
        <f t="shared" si="24"/>
        <v>0</v>
      </c>
      <c r="K115" s="505"/>
      <c r="L115" s="513"/>
      <c r="M115" s="505">
        <f t="shared" si="33"/>
        <v>0</v>
      </c>
      <c r="N115" s="513"/>
      <c r="O115" s="505">
        <f t="shared" si="22"/>
        <v>0</v>
      </c>
      <c r="P115" s="505">
        <f t="shared" si="23"/>
        <v>0</v>
      </c>
      <c r="Q115" s="244"/>
      <c r="R115" s="244"/>
      <c r="S115" s="244"/>
      <c r="T115" s="244"/>
      <c r="U115" s="244"/>
    </row>
    <row r="116" spans="2:21">
      <c r="B116" s="145" t="str">
        <f t="shared" si="18"/>
        <v/>
      </c>
      <c r="C116" s="496">
        <f>IF(D94="","-",+C115+1)</f>
        <v>2030</v>
      </c>
      <c r="D116" s="350">
        <f>IF(F115+SUM(E$100:E115)=D$93,F115,D$93-SUM(E$100:E115))</f>
        <v>4836053.1640974041</v>
      </c>
      <c r="E116" s="510">
        <f t="shared" si="28"/>
        <v>408723.92</v>
      </c>
      <c r="F116" s="511">
        <f t="shared" si="29"/>
        <v>4427329.2440974042</v>
      </c>
      <c r="G116" s="511">
        <f t="shared" si="30"/>
        <v>4631691.2040974041</v>
      </c>
      <c r="H116" s="646">
        <f t="shared" si="31"/>
        <v>955087.53866144991</v>
      </c>
      <c r="I116" s="573">
        <f t="shared" si="32"/>
        <v>955087.53866144991</v>
      </c>
      <c r="J116" s="505">
        <f t="shared" si="24"/>
        <v>0</v>
      </c>
      <c r="K116" s="505"/>
      <c r="L116" s="513"/>
      <c r="M116" s="505">
        <f t="shared" si="33"/>
        <v>0</v>
      </c>
      <c r="N116" s="513"/>
      <c r="O116" s="505">
        <f t="shared" si="22"/>
        <v>0</v>
      </c>
      <c r="P116" s="505">
        <f t="shared" si="23"/>
        <v>0</v>
      </c>
      <c r="Q116" s="244"/>
      <c r="R116" s="244"/>
      <c r="S116" s="244"/>
      <c r="T116" s="244"/>
      <c r="U116" s="244"/>
    </row>
    <row r="117" spans="2:21">
      <c r="B117" s="145" t="str">
        <f t="shared" si="18"/>
        <v/>
      </c>
      <c r="C117" s="496">
        <f>IF(D94="","-",+C116+1)</f>
        <v>2031</v>
      </c>
      <c r="D117" s="350">
        <f>IF(F116+SUM(E$100:E116)=D$93,F116,D$93-SUM(E$100:E116))</f>
        <v>4427329.2440974042</v>
      </c>
      <c r="E117" s="510">
        <f t="shared" si="28"/>
        <v>408723.92</v>
      </c>
      <c r="F117" s="511">
        <f t="shared" si="29"/>
        <v>4018605.3240974043</v>
      </c>
      <c r="G117" s="511">
        <f t="shared" si="30"/>
        <v>4222967.2840974042</v>
      </c>
      <c r="H117" s="646">
        <f t="shared" si="31"/>
        <v>906873.64224125224</v>
      </c>
      <c r="I117" s="573">
        <f t="shared" si="32"/>
        <v>906873.64224125224</v>
      </c>
      <c r="J117" s="505">
        <f t="shared" si="24"/>
        <v>0</v>
      </c>
      <c r="K117" s="505"/>
      <c r="L117" s="513"/>
      <c r="M117" s="505">
        <f t="shared" si="33"/>
        <v>0</v>
      </c>
      <c r="N117" s="513"/>
      <c r="O117" s="505">
        <f t="shared" si="22"/>
        <v>0</v>
      </c>
      <c r="P117" s="505">
        <f t="shared" si="23"/>
        <v>0</v>
      </c>
      <c r="Q117" s="244"/>
      <c r="R117" s="244"/>
      <c r="S117" s="244"/>
      <c r="T117" s="244"/>
      <c r="U117" s="244"/>
    </row>
    <row r="118" spans="2:21">
      <c r="B118" s="145" t="str">
        <f t="shared" si="18"/>
        <v/>
      </c>
      <c r="C118" s="496">
        <f>IF(D94="","-",+C117+1)</f>
        <v>2032</v>
      </c>
      <c r="D118" s="350">
        <f>IF(F117+SUM(E$100:E117)=D$93,F117,D$93-SUM(E$100:E117))</f>
        <v>4018605.3240974043</v>
      </c>
      <c r="E118" s="510">
        <f t="shared" si="28"/>
        <v>408723.92</v>
      </c>
      <c r="F118" s="511">
        <f t="shared" si="29"/>
        <v>3609881.4040974043</v>
      </c>
      <c r="G118" s="511">
        <f t="shared" si="30"/>
        <v>3814243.3640974043</v>
      </c>
      <c r="H118" s="646">
        <f t="shared" si="31"/>
        <v>858659.74582105456</v>
      </c>
      <c r="I118" s="573">
        <f t="shared" si="32"/>
        <v>858659.74582105456</v>
      </c>
      <c r="J118" s="505">
        <f t="shared" si="24"/>
        <v>0</v>
      </c>
      <c r="K118" s="505"/>
      <c r="L118" s="513"/>
      <c r="M118" s="505">
        <f t="shared" si="33"/>
        <v>0</v>
      </c>
      <c r="N118" s="513"/>
      <c r="O118" s="505">
        <f t="shared" si="22"/>
        <v>0</v>
      </c>
      <c r="P118" s="505">
        <f t="shared" si="23"/>
        <v>0</v>
      </c>
      <c r="Q118" s="244"/>
      <c r="R118" s="244"/>
      <c r="S118" s="244"/>
      <c r="T118" s="244"/>
      <c r="U118" s="244"/>
    </row>
    <row r="119" spans="2:21">
      <c r="B119" s="145" t="str">
        <f t="shared" si="18"/>
        <v/>
      </c>
      <c r="C119" s="496">
        <f>IF(D94="","-",+C118+1)</f>
        <v>2033</v>
      </c>
      <c r="D119" s="350">
        <f>IF(F118+SUM(E$100:E118)=D$93,F118,D$93-SUM(E$100:E118))</f>
        <v>3609881.4040974043</v>
      </c>
      <c r="E119" s="510">
        <f t="shared" si="28"/>
        <v>408723.92</v>
      </c>
      <c r="F119" s="511">
        <f t="shared" si="29"/>
        <v>3201157.4840974044</v>
      </c>
      <c r="G119" s="511">
        <f t="shared" si="30"/>
        <v>3405519.4440974044</v>
      </c>
      <c r="H119" s="646">
        <f t="shared" si="31"/>
        <v>810445.84940085676</v>
      </c>
      <c r="I119" s="573">
        <f t="shared" si="32"/>
        <v>810445.84940085676</v>
      </c>
      <c r="J119" s="505">
        <f t="shared" si="24"/>
        <v>0</v>
      </c>
      <c r="K119" s="505"/>
      <c r="L119" s="513"/>
      <c r="M119" s="505">
        <f t="shared" si="33"/>
        <v>0</v>
      </c>
      <c r="N119" s="513"/>
      <c r="O119" s="505">
        <f t="shared" si="22"/>
        <v>0</v>
      </c>
      <c r="P119" s="505">
        <f t="shared" si="23"/>
        <v>0</v>
      </c>
      <c r="Q119" s="244"/>
      <c r="R119" s="244"/>
      <c r="S119" s="244"/>
      <c r="T119" s="244"/>
      <c r="U119" s="244"/>
    </row>
    <row r="120" spans="2:21">
      <c r="B120" s="145" t="str">
        <f t="shared" si="18"/>
        <v/>
      </c>
      <c r="C120" s="496">
        <f>IF(D94="","-",+C119+1)</f>
        <v>2034</v>
      </c>
      <c r="D120" s="350">
        <f>IF(F119+SUM(E$100:E119)=D$93,F119,D$93-SUM(E$100:E119))</f>
        <v>3201157.4840974044</v>
      </c>
      <c r="E120" s="510">
        <f t="shared" si="28"/>
        <v>408723.92</v>
      </c>
      <c r="F120" s="511">
        <f t="shared" si="29"/>
        <v>2792433.5640974045</v>
      </c>
      <c r="G120" s="511">
        <f t="shared" si="30"/>
        <v>2996795.5240974044</v>
      </c>
      <c r="H120" s="646">
        <f t="shared" si="31"/>
        <v>762231.9529806592</v>
      </c>
      <c r="I120" s="573">
        <f t="shared" si="32"/>
        <v>762231.9529806592</v>
      </c>
      <c r="J120" s="505">
        <f t="shared" si="24"/>
        <v>0</v>
      </c>
      <c r="K120" s="505"/>
      <c r="L120" s="513"/>
      <c r="M120" s="505">
        <f t="shared" si="33"/>
        <v>0</v>
      </c>
      <c r="N120" s="513"/>
      <c r="O120" s="505">
        <f t="shared" si="22"/>
        <v>0</v>
      </c>
      <c r="P120" s="505">
        <f t="shared" si="23"/>
        <v>0</v>
      </c>
      <c r="Q120" s="244"/>
      <c r="R120" s="244"/>
      <c r="S120" s="244"/>
      <c r="T120" s="244"/>
      <c r="U120" s="244"/>
    </row>
    <row r="121" spans="2:21">
      <c r="B121" s="145" t="str">
        <f t="shared" si="18"/>
        <v/>
      </c>
      <c r="C121" s="496">
        <f>IF(D94="","-",+C120+1)</f>
        <v>2035</v>
      </c>
      <c r="D121" s="350">
        <f>IF(F120+SUM(E$100:E120)=D$93,F120,D$93-SUM(E$100:E120))</f>
        <v>2792433.5640974045</v>
      </c>
      <c r="E121" s="510">
        <f t="shared" si="28"/>
        <v>408723.92</v>
      </c>
      <c r="F121" s="511">
        <f t="shared" si="29"/>
        <v>2383709.6440974046</v>
      </c>
      <c r="G121" s="511">
        <f t="shared" si="30"/>
        <v>2588071.6040974045</v>
      </c>
      <c r="H121" s="646">
        <f t="shared" si="31"/>
        <v>714018.05656046141</v>
      </c>
      <c r="I121" s="573">
        <f t="shared" si="32"/>
        <v>714018.05656046141</v>
      </c>
      <c r="J121" s="505">
        <f t="shared" si="24"/>
        <v>0</v>
      </c>
      <c r="K121" s="505"/>
      <c r="L121" s="513"/>
      <c r="M121" s="505">
        <f t="shared" si="33"/>
        <v>0</v>
      </c>
      <c r="N121" s="513"/>
      <c r="O121" s="505">
        <f t="shared" si="22"/>
        <v>0</v>
      </c>
      <c r="P121" s="505">
        <f t="shared" si="23"/>
        <v>0</v>
      </c>
      <c r="Q121" s="244"/>
      <c r="R121" s="244"/>
      <c r="S121" s="244"/>
      <c r="T121" s="244"/>
      <c r="U121" s="244"/>
    </row>
    <row r="122" spans="2:21">
      <c r="B122" s="145" t="str">
        <f t="shared" si="18"/>
        <v/>
      </c>
      <c r="C122" s="496">
        <f>IF(D94="","-",+C121+1)</f>
        <v>2036</v>
      </c>
      <c r="D122" s="350">
        <f>IF(F121+SUM(E$100:E121)=D$93,F121,D$93-SUM(E$100:E121))</f>
        <v>2383709.6440974046</v>
      </c>
      <c r="E122" s="510">
        <f t="shared" si="28"/>
        <v>408723.92</v>
      </c>
      <c r="F122" s="511">
        <f t="shared" si="29"/>
        <v>1974985.7240974046</v>
      </c>
      <c r="G122" s="511">
        <f t="shared" si="30"/>
        <v>2179347.6840974046</v>
      </c>
      <c r="H122" s="646">
        <f t="shared" si="31"/>
        <v>665804.16014026385</v>
      </c>
      <c r="I122" s="573">
        <f t="shared" si="32"/>
        <v>665804.16014026385</v>
      </c>
      <c r="J122" s="505">
        <f t="shared" si="24"/>
        <v>0</v>
      </c>
      <c r="K122" s="505"/>
      <c r="L122" s="513"/>
      <c r="M122" s="505">
        <f t="shared" si="33"/>
        <v>0</v>
      </c>
      <c r="N122" s="513"/>
      <c r="O122" s="505">
        <f t="shared" si="22"/>
        <v>0</v>
      </c>
      <c r="P122" s="505">
        <f t="shared" si="23"/>
        <v>0</v>
      </c>
      <c r="Q122" s="244"/>
      <c r="R122" s="244"/>
      <c r="S122" s="244"/>
      <c r="T122" s="244"/>
      <c r="U122" s="244"/>
    </row>
    <row r="123" spans="2:21">
      <c r="B123" s="145" t="str">
        <f t="shared" si="18"/>
        <v/>
      </c>
      <c r="C123" s="496">
        <f>IF(D94="","-",+C122+1)</f>
        <v>2037</v>
      </c>
      <c r="D123" s="350">
        <f>IF(F122+SUM(E$100:E122)=D$93,F122,D$93-SUM(E$100:E122))</f>
        <v>1974985.7240974046</v>
      </c>
      <c r="E123" s="510">
        <f t="shared" si="28"/>
        <v>408723.92</v>
      </c>
      <c r="F123" s="511">
        <f t="shared" si="29"/>
        <v>1566261.8040974047</v>
      </c>
      <c r="G123" s="511">
        <f t="shared" si="30"/>
        <v>1770623.7640974047</v>
      </c>
      <c r="H123" s="646">
        <f t="shared" si="31"/>
        <v>617590.26372006617</v>
      </c>
      <c r="I123" s="573">
        <f t="shared" si="32"/>
        <v>617590.26372006617</v>
      </c>
      <c r="J123" s="505">
        <f t="shared" si="24"/>
        <v>0</v>
      </c>
      <c r="K123" s="505"/>
      <c r="L123" s="513"/>
      <c r="M123" s="505">
        <f t="shared" si="33"/>
        <v>0</v>
      </c>
      <c r="N123" s="513"/>
      <c r="O123" s="505">
        <f t="shared" si="22"/>
        <v>0</v>
      </c>
      <c r="P123" s="505">
        <f t="shared" si="23"/>
        <v>0</v>
      </c>
      <c r="Q123" s="244"/>
      <c r="R123" s="244"/>
      <c r="S123" s="244"/>
      <c r="T123" s="244"/>
      <c r="U123" s="244"/>
    </row>
    <row r="124" spans="2:21">
      <c r="B124" s="145" t="str">
        <f t="shared" si="18"/>
        <v/>
      </c>
      <c r="C124" s="496">
        <f>IF(D94="","-",+C123+1)</f>
        <v>2038</v>
      </c>
      <c r="D124" s="350">
        <f>IF(F123+SUM(E$100:E123)=D$93,F123,D$93-SUM(E$100:E123))</f>
        <v>1566261.8040974047</v>
      </c>
      <c r="E124" s="510">
        <f t="shared" si="28"/>
        <v>408723.92</v>
      </c>
      <c r="F124" s="511">
        <f t="shared" si="29"/>
        <v>1157537.8840974048</v>
      </c>
      <c r="G124" s="511">
        <f t="shared" si="30"/>
        <v>1361899.8440974047</v>
      </c>
      <c r="H124" s="646">
        <f t="shared" si="31"/>
        <v>569376.36729986849</v>
      </c>
      <c r="I124" s="573">
        <f t="shared" si="32"/>
        <v>569376.36729986849</v>
      </c>
      <c r="J124" s="505">
        <f t="shared" si="24"/>
        <v>0</v>
      </c>
      <c r="K124" s="505"/>
      <c r="L124" s="513"/>
      <c r="M124" s="505">
        <f t="shared" si="33"/>
        <v>0</v>
      </c>
      <c r="N124" s="513"/>
      <c r="O124" s="505">
        <f t="shared" si="22"/>
        <v>0</v>
      </c>
      <c r="P124" s="505">
        <f t="shared" si="23"/>
        <v>0</v>
      </c>
      <c r="Q124" s="244"/>
      <c r="R124" s="244"/>
      <c r="S124" s="244"/>
      <c r="T124" s="244"/>
      <c r="U124" s="244"/>
    </row>
    <row r="125" spans="2:21">
      <c r="B125" s="145" t="str">
        <f t="shared" si="18"/>
        <v/>
      </c>
      <c r="C125" s="496">
        <f>IF(D94="","-",+C124+1)</f>
        <v>2039</v>
      </c>
      <c r="D125" s="350">
        <f>IF(F124+SUM(E$100:E124)=D$93,F124,D$93-SUM(E$100:E124))</f>
        <v>1157537.8840974048</v>
      </c>
      <c r="E125" s="510">
        <f t="shared" si="28"/>
        <v>408723.92</v>
      </c>
      <c r="F125" s="511">
        <f t="shared" si="29"/>
        <v>748813.96409740485</v>
      </c>
      <c r="G125" s="511">
        <f t="shared" si="30"/>
        <v>953175.92409740482</v>
      </c>
      <c r="H125" s="646">
        <f t="shared" si="31"/>
        <v>521162.47087967076</v>
      </c>
      <c r="I125" s="573">
        <f t="shared" si="32"/>
        <v>521162.47087967076</v>
      </c>
      <c r="J125" s="505">
        <f t="shared" si="24"/>
        <v>0</v>
      </c>
      <c r="K125" s="505"/>
      <c r="L125" s="513"/>
      <c r="M125" s="505">
        <f t="shared" si="33"/>
        <v>0</v>
      </c>
      <c r="N125" s="513"/>
      <c r="O125" s="505">
        <f t="shared" si="22"/>
        <v>0</v>
      </c>
      <c r="P125" s="505">
        <f t="shared" si="23"/>
        <v>0</v>
      </c>
      <c r="Q125" s="244"/>
      <c r="R125" s="244"/>
      <c r="S125" s="244"/>
      <c r="T125" s="244"/>
      <c r="U125" s="244"/>
    </row>
    <row r="126" spans="2:21">
      <c r="B126" s="145" t="str">
        <f t="shared" si="18"/>
        <v/>
      </c>
      <c r="C126" s="496">
        <f>IF(D94="","-",+C125+1)</f>
        <v>2040</v>
      </c>
      <c r="D126" s="350">
        <f>IF(F125+SUM(E$100:E125)=D$93,F125,D$93-SUM(E$100:E125))</f>
        <v>748813.96409740485</v>
      </c>
      <c r="E126" s="510">
        <f t="shared" si="28"/>
        <v>408723.92</v>
      </c>
      <c r="F126" s="511">
        <f t="shared" si="29"/>
        <v>340090.04409740487</v>
      </c>
      <c r="G126" s="511">
        <f t="shared" si="30"/>
        <v>544452.00409740489</v>
      </c>
      <c r="H126" s="646">
        <f t="shared" si="31"/>
        <v>472948.57445947308</v>
      </c>
      <c r="I126" s="573">
        <f t="shared" si="32"/>
        <v>472948.57445947308</v>
      </c>
      <c r="J126" s="505">
        <f t="shared" si="24"/>
        <v>0</v>
      </c>
      <c r="K126" s="505"/>
      <c r="L126" s="513"/>
      <c r="M126" s="505">
        <f t="shared" si="33"/>
        <v>0</v>
      </c>
      <c r="N126" s="513"/>
      <c r="O126" s="505">
        <f t="shared" si="22"/>
        <v>0</v>
      </c>
      <c r="P126" s="505">
        <f t="shared" si="23"/>
        <v>0</v>
      </c>
      <c r="Q126" s="244"/>
      <c r="R126" s="244"/>
      <c r="S126" s="244"/>
      <c r="T126" s="244"/>
      <c r="U126" s="244"/>
    </row>
    <row r="127" spans="2:21">
      <c r="B127" s="145" t="str">
        <f t="shared" si="18"/>
        <v/>
      </c>
      <c r="C127" s="496">
        <f>IF(D94="","-",+C126+1)</f>
        <v>2041</v>
      </c>
      <c r="D127" s="350">
        <f>IF(F126+SUM(E$100:E126)=D$93,F126,D$93-SUM(E$100:E126))</f>
        <v>340090.04409740487</v>
      </c>
      <c r="E127" s="510">
        <f t="shared" si="28"/>
        <v>340090.04409740487</v>
      </c>
      <c r="F127" s="511">
        <f t="shared" si="29"/>
        <v>0</v>
      </c>
      <c r="G127" s="511">
        <f t="shared" si="30"/>
        <v>170045.02204870243</v>
      </c>
      <c r="H127" s="646">
        <f t="shared" si="31"/>
        <v>360148.89722209203</v>
      </c>
      <c r="I127" s="573">
        <f t="shared" si="32"/>
        <v>360148.89722209203</v>
      </c>
      <c r="J127" s="505">
        <f t="shared" si="24"/>
        <v>0</v>
      </c>
      <c r="K127" s="505"/>
      <c r="L127" s="513"/>
      <c r="M127" s="505">
        <f t="shared" si="33"/>
        <v>0</v>
      </c>
      <c r="N127" s="513"/>
      <c r="O127" s="505">
        <f t="shared" si="22"/>
        <v>0</v>
      </c>
      <c r="P127" s="505">
        <f t="shared" si="23"/>
        <v>0</v>
      </c>
      <c r="Q127" s="244"/>
      <c r="R127" s="244"/>
      <c r="S127" s="244"/>
      <c r="T127" s="244"/>
      <c r="U127" s="244"/>
    </row>
    <row r="128" spans="2:21">
      <c r="B128" s="145" t="str">
        <f t="shared" si="18"/>
        <v/>
      </c>
      <c r="C128" s="496">
        <f>IF(D94="","-",+C127+1)</f>
        <v>2042</v>
      </c>
      <c r="D128" s="350">
        <f>IF(F127+SUM(E$100:E127)=D$93,F127,D$93-SUM(E$100:E127))</f>
        <v>0</v>
      </c>
      <c r="E128" s="510">
        <f t="shared" si="28"/>
        <v>0</v>
      </c>
      <c r="F128" s="511">
        <f t="shared" si="29"/>
        <v>0</v>
      </c>
      <c r="G128" s="511">
        <f t="shared" si="30"/>
        <v>0</v>
      </c>
      <c r="H128" s="646">
        <f t="shared" si="31"/>
        <v>0</v>
      </c>
      <c r="I128" s="573">
        <f t="shared" si="32"/>
        <v>0</v>
      </c>
      <c r="J128" s="505">
        <f t="shared" si="24"/>
        <v>0</v>
      </c>
      <c r="K128" s="505"/>
      <c r="L128" s="513"/>
      <c r="M128" s="505">
        <f t="shared" si="33"/>
        <v>0</v>
      </c>
      <c r="N128" s="513"/>
      <c r="O128" s="505">
        <f t="shared" si="22"/>
        <v>0</v>
      </c>
      <c r="P128" s="505">
        <f t="shared" si="23"/>
        <v>0</v>
      </c>
      <c r="Q128" s="244"/>
      <c r="R128" s="244"/>
      <c r="S128" s="244"/>
      <c r="T128" s="244"/>
      <c r="U128" s="244"/>
    </row>
    <row r="129" spans="2:21">
      <c r="B129" s="145" t="str">
        <f t="shared" si="18"/>
        <v/>
      </c>
      <c r="C129" s="496">
        <f>IF(D94="","-",+C128+1)</f>
        <v>2043</v>
      </c>
      <c r="D129" s="350">
        <f>IF(F128+SUM(E$100:E128)=D$93,F128,D$93-SUM(E$100:E128))</f>
        <v>0</v>
      </c>
      <c r="E129" s="510">
        <f t="shared" si="28"/>
        <v>0</v>
      </c>
      <c r="F129" s="511">
        <f t="shared" si="29"/>
        <v>0</v>
      </c>
      <c r="G129" s="511">
        <f t="shared" si="30"/>
        <v>0</v>
      </c>
      <c r="H129" s="646">
        <f t="shared" si="31"/>
        <v>0</v>
      </c>
      <c r="I129" s="573">
        <f t="shared" si="32"/>
        <v>0</v>
      </c>
      <c r="J129" s="505">
        <f t="shared" si="24"/>
        <v>0</v>
      </c>
      <c r="K129" s="505"/>
      <c r="L129" s="513"/>
      <c r="M129" s="505">
        <f t="shared" si="33"/>
        <v>0</v>
      </c>
      <c r="N129" s="513"/>
      <c r="O129" s="505">
        <f t="shared" si="22"/>
        <v>0</v>
      </c>
      <c r="P129" s="505">
        <f t="shared" si="23"/>
        <v>0</v>
      </c>
      <c r="Q129" s="244"/>
      <c r="R129" s="244"/>
      <c r="S129" s="244"/>
      <c r="T129" s="244"/>
      <c r="U129" s="244"/>
    </row>
    <row r="130" spans="2:21">
      <c r="B130" s="145" t="str">
        <f t="shared" si="18"/>
        <v/>
      </c>
      <c r="C130" s="496">
        <f>IF(D94="","-",+C129+1)</f>
        <v>2044</v>
      </c>
      <c r="D130" s="350">
        <f>IF(F129+SUM(E$100:E129)=D$93,F129,D$93-SUM(E$100:E129))</f>
        <v>0</v>
      </c>
      <c r="E130" s="510">
        <f t="shared" si="28"/>
        <v>0</v>
      </c>
      <c r="F130" s="511">
        <f t="shared" si="29"/>
        <v>0</v>
      </c>
      <c r="G130" s="511">
        <f t="shared" si="30"/>
        <v>0</v>
      </c>
      <c r="H130" s="646">
        <f t="shared" si="31"/>
        <v>0</v>
      </c>
      <c r="I130" s="573">
        <f t="shared" si="32"/>
        <v>0</v>
      </c>
      <c r="J130" s="505">
        <f t="shared" si="24"/>
        <v>0</v>
      </c>
      <c r="K130" s="505"/>
      <c r="L130" s="513"/>
      <c r="M130" s="505">
        <f t="shared" si="33"/>
        <v>0</v>
      </c>
      <c r="N130" s="513"/>
      <c r="O130" s="505">
        <f t="shared" si="22"/>
        <v>0</v>
      </c>
      <c r="P130" s="505">
        <f t="shared" si="23"/>
        <v>0</v>
      </c>
      <c r="Q130" s="244"/>
      <c r="R130" s="244"/>
      <c r="S130" s="244"/>
      <c r="T130" s="244"/>
      <c r="U130" s="244"/>
    </row>
    <row r="131" spans="2:21">
      <c r="B131" s="145" t="str">
        <f t="shared" si="18"/>
        <v/>
      </c>
      <c r="C131" s="496">
        <f>IF(D94="","-",+C130+1)</f>
        <v>2045</v>
      </c>
      <c r="D131" s="350">
        <f>IF(F130+SUM(E$100:E130)=D$93,F130,D$93-SUM(E$100:E130))</f>
        <v>0</v>
      </c>
      <c r="E131" s="510">
        <f t="shared" si="28"/>
        <v>0</v>
      </c>
      <c r="F131" s="511">
        <f t="shared" si="29"/>
        <v>0</v>
      </c>
      <c r="G131" s="511">
        <f t="shared" si="30"/>
        <v>0</v>
      </c>
      <c r="H131" s="646">
        <f t="shared" si="31"/>
        <v>0</v>
      </c>
      <c r="I131" s="573">
        <f t="shared" si="32"/>
        <v>0</v>
      </c>
      <c r="J131" s="505">
        <f t="shared" si="24"/>
        <v>0</v>
      </c>
      <c r="K131" s="505"/>
      <c r="L131" s="513"/>
      <c r="M131" s="505">
        <f t="shared" si="33"/>
        <v>0</v>
      </c>
      <c r="N131" s="513"/>
      <c r="O131" s="505">
        <f t="shared" si="22"/>
        <v>0</v>
      </c>
      <c r="P131" s="505">
        <f t="shared" si="23"/>
        <v>0</v>
      </c>
      <c r="Q131" s="244"/>
      <c r="R131" s="244"/>
      <c r="S131" s="244"/>
      <c r="T131" s="244"/>
      <c r="U131" s="244"/>
    </row>
    <row r="132" spans="2:21">
      <c r="B132" s="145" t="str">
        <f t="shared" si="18"/>
        <v/>
      </c>
      <c r="C132" s="496">
        <f>IF(D94="","-",+C131+1)</f>
        <v>2046</v>
      </c>
      <c r="D132" s="350">
        <f>IF(F131+SUM(E$100:E131)=D$93,F131,D$93-SUM(E$100:E131))</f>
        <v>0</v>
      </c>
      <c r="E132" s="510">
        <f t="shared" si="28"/>
        <v>0</v>
      </c>
      <c r="F132" s="511">
        <f t="shared" si="29"/>
        <v>0</v>
      </c>
      <c r="G132" s="511">
        <f t="shared" si="30"/>
        <v>0</v>
      </c>
      <c r="H132" s="646">
        <f t="shared" si="31"/>
        <v>0</v>
      </c>
      <c r="I132" s="573">
        <f t="shared" si="32"/>
        <v>0</v>
      </c>
      <c r="J132" s="505">
        <f t="shared" si="24"/>
        <v>0</v>
      </c>
      <c r="K132" s="505"/>
      <c r="L132" s="513"/>
      <c r="M132" s="505">
        <f t="shared" ref="M132:M155" si="34">IF(L542&lt;&gt;0,+H542-L542,0)</f>
        <v>0</v>
      </c>
      <c r="N132" s="513"/>
      <c r="O132" s="505">
        <f t="shared" ref="O132:O155" si="35">IF(N542&lt;&gt;0,+I542-N542,0)</f>
        <v>0</v>
      </c>
      <c r="P132" s="505">
        <f t="shared" ref="P132:P155" si="36">+O542-M542</f>
        <v>0</v>
      </c>
      <c r="Q132" s="244"/>
      <c r="R132" s="244"/>
      <c r="S132" s="244"/>
      <c r="T132" s="244"/>
      <c r="U132" s="244"/>
    </row>
    <row r="133" spans="2:21">
      <c r="B133" s="145" t="str">
        <f t="shared" si="18"/>
        <v/>
      </c>
      <c r="C133" s="496">
        <f>IF(D94="","-",+C132+1)</f>
        <v>2047</v>
      </c>
      <c r="D133" s="350">
        <f>IF(F132+SUM(E$100:E132)=D$93,F132,D$93-SUM(E$100:E132))</f>
        <v>0</v>
      </c>
      <c r="E133" s="510">
        <f t="shared" si="28"/>
        <v>0</v>
      </c>
      <c r="F133" s="511">
        <f t="shared" si="29"/>
        <v>0</v>
      </c>
      <c r="G133" s="511">
        <f t="shared" si="30"/>
        <v>0</v>
      </c>
      <c r="H133" s="646">
        <f t="shared" si="31"/>
        <v>0</v>
      </c>
      <c r="I133" s="573">
        <f t="shared" si="32"/>
        <v>0</v>
      </c>
      <c r="J133" s="505">
        <f t="shared" si="24"/>
        <v>0</v>
      </c>
      <c r="K133" s="505"/>
      <c r="L133" s="513"/>
      <c r="M133" s="505">
        <f t="shared" si="34"/>
        <v>0</v>
      </c>
      <c r="N133" s="513"/>
      <c r="O133" s="505">
        <f t="shared" si="35"/>
        <v>0</v>
      </c>
      <c r="P133" s="505">
        <f t="shared" si="36"/>
        <v>0</v>
      </c>
      <c r="Q133" s="244"/>
      <c r="R133" s="244"/>
      <c r="S133" s="244"/>
      <c r="T133" s="244"/>
      <c r="U133" s="244"/>
    </row>
    <row r="134" spans="2:21">
      <c r="B134" s="145" t="str">
        <f t="shared" si="18"/>
        <v/>
      </c>
      <c r="C134" s="496">
        <f>IF(D94="","-",+C133+1)</f>
        <v>2048</v>
      </c>
      <c r="D134" s="350">
        <f>IF(F133+SUM(E$100:E133)=D$93,F133,D$93-SUM(E$100:E133))</f>
        <v>0</v>
      </c>
      <c r="E134" s="510">
        <f t="shared" si="28"/>
        <v>0</v>
      </c>
      <c r="F134" s="511">
        <f t="shared" si="29"/>
        <v>0</v>
      </c>
      <c r="G134" s="511">
        <f t="shared" si="30"/>
        <v>0</v>
      </c>
      <c r="H134" s="646">
        <f t="shared" si="31"/>
        <v>0</v>
      </c>
      <c r="I134" s="573">
        <f t="shared" si="32"/>
        <v>0</v>
      </c>
      <c r="J134" s="505">
        <f t="shared" si="24"/>
        <v>0</v>
      </c>
      <c r="K134" s="505"/>
      <c r="L134" s="513"/>
      <c r="M134" s="505">
        <f t="shared" si="34"/>
        <v>0</v>
      </c>
      <c r="N134" s="513"/>
      <c r="O134" s="505">
        <f t="shared" si="35"/>
        <v>0</v>
      </c>
      <c r="P134" s="505">
        <f t="shared" si="36"/>
        <v>0</v>
      </c>
      <c r="Q134" s="244"/>
      <c r="R134" s="244"/>
      <c r="S134" s="244"/>
      <c r="T134" s="244"/>
      <c r="U134" s="244"/>
    </row>
    <row r="135" spans="2:21">
      <c r="B135" s="145" t="str">
        <f t="shared" si="18"/>
        <v/>
      </c>
      <c r="C135" s="496">
        <f>IF(D94="","-",+C134+1)</f>
        <v>2049</v>
      </c>
      <c r="D135" s="350">
        <f>IF(F134+SUM(E$100:E134)=D$93,F134,D$93-SUM(E$100:E134))</f>
        <v>0</v>
      </c>
      <c r="E135" s="510">
        <f t="shared" si="28"/>
        <v>0</v>
      </c>
      <c r="F135" s="511">
        <f t="shared" si="29"/>
        <v>0</v>
      </c>
      <c r="G135" s="511">
        <f t="shared" si="30"/>
        <v>0</v>
      </c>
      <c r="H135" s="646">
        <f t="shared" si="31"/>
        <v>0</v>
      </c>
      <c r="I135" s="573">
        <f t="shared" si="32"/>
        <v>0</v>
      </c>
      <c r="J135" s="505">
        <f t="shared" si="24"/>
        <v>0</v>
      </c>
      <c r="K135" s="505"/>
      <c r="L135" s="513"/>
      <c r="M135" s="505">
        <f t="shared" si="34"/>
        <v>0</v>
      </c>
      <c r="N135" s="513"/>
      <c r="O135" s="505">
        <f t="shared" si="35"/>
        <v>0</v>
      </c>
      <c r="P135" s="505">
        <f t="shared" si="36"/>
        <v>0</v>
      </c>
      <c r="Q135" s="244"/>
      <c r="R135" s="244"/>
      <c r="S135" s="244"/>
      <c r="T135" s="244"/>
      <c r="U135" s="244"/>
    </row>
    <row r="136" spans="2:21">
      <c r="B136" s="145" t="str">
        <f t="shared" si="18"/>
        <v/>
      </c>
      <c r="C136" s="496">
        <f>IF(D94="","-",+C135+1)</f>
        <v>2050</v>
      </c>
      <c r="D136" s="350">
        <f>IF(F135+SUM(E$100:E135)=D$93,F135,D$93-SUM(E$100:E135))</f>
        <v>0</v>
      </c>
      <c r="E136" s="510">
        <f t="shared" si="28"/>
        <v>0</v>
      </c>
      <c r="F136" s="511">
        <f t="shared" si="29"/>
        <v>0</v>
      </c>
      <c r="G136" s="511">
        <f t="shared" si="30"/>
        <v>0</v>
      </c>
      <c r="H136" s="646">
        <f t="shared" si="31"/>
        <v>0</v>
      </c>
      <c r="I136" s="573">
        <f t="shared" si="32"/>
        <v>0</v>
      </c>
      <c r="J136" s="505">
        <f t="shared" si="24"/>
        <v>0</v>
      </c>
      <c r="K136" s="505"/>
      <c r="L136" s="513"/>
      <c r="M136" s="505">
        <f t="shared" si="34"/>
        <v>0</v>
      </c>
      <c r="N136" s="513"/>
      <c r="O136" s="505">
        <f t="shared" si="35"/>
        <v>0</v>
      </c>
      <c r="P136" s="505">
        <f t="shared" si="36"/>
        <v>0</v>
      </c>
      <c r="Q136" s="244"/>
      <c r="R136" s="244"/>
      <c r="S136" s="244"/>
      <c r="T136" s="244"/>
      <c r="U136" s="244"/>
    </row>
    <row r="137" spans="2:21">
      <c r="B137" s="145" t="str">
        <f t="shared" si="18"/>
        <v/>
      </c>
      <c r="C137" s="496">
        <f>IF(D94="","-",+C136+1)</f>
        <v>2051</v>
      </c>
      <c r="D137" s="350">
        <f>IF(F136+SUM(E$100:E136)=D$93,F136,D$93-SUM(E$100:E136))</f>
        <v>0</v>
      </c>
      <c r="E137" s="510">
        <f t="shared" si="28"/>
        <v>0</v>
      </c>
      <c r="F137" s="511">
        <f t="shared" si="29"/>
        <v>0</v>
      </c>
      <c r="G137" s="511">
        <f t="shared" si="30"/>
        <v>0</v>
      </c>
      <c r="H137" s="646">
        <f t="shared" si="31"/>
        <v>0</v>
      </c>
      <c r="I137" s="573">
        <f t="shared" si="32"/>
        <v>0</v>
      </c>
      <c r="J137" s="505">
        <f t="shared" si="24"/>
        <v>0</v>
      </c>
      <c r="K137" s="505"/>
      <c r="L137" s="513"/>
      <c r="M137" s="505">
        <f t="shared" si="34"/>
        <v>0</v>
      </c>
      <c r="N137" s="513"/>
      <c r="O137" s="505">
        <f t="shared" si="35"/>
        <v>0</v>
      </c>
      <c r="P137" s="505">
        <f t="shared" si="36"/>
        <v>0</v>
      </c>
      <c r="Q137" s="244"/>
      <c r="R137" s="244"/>
      <c r="S137" s="244"/>
      <c r="T137" s="244"/>
      <c r="U137" s="244"/>
    </row>
    <row r="138" spans="2:21">
      <c r="B138" s="145" t="str">
        <f t="shared" si="18"/>
        <v/>
      </c>
      <c r="C138" s="496">
        <f>IF(D94="","-",+C137+1)</f>
        <v>2052</v>
      </c>
      <c r="D138" s="350">
        <f>IF(F137+SUM(E$100:E137)=D$93,F137,D$93-SUM(E$100:E137))</f>
        <v>0</v>
      </c>
      <c r="E138" s="510">
        <f t="shared" si="28"/>
        <v>0</v>
      </c>
      <c r="F138" s="511">
        <f t="shared" si="29"/>
        <v>0</v>
      </c>
      <c r="G138" s="511">
        <f t="shared" si="30"/>
        <v>0</v>
      </c>
      <c r="H138" s="646">
        <f t="shared" si="31"/>
        <v>0</v>
      </c>
      <c r="I138" s="573">
        <f t="shared" si="32"/>
        <v>0</v>
      </c>
      <c r="J138" s="505">
        <f t="shared" si="24"/>
        <v>0</v>
      </c>
      <c r="K138" s="505"/>
      <c r="L138" s="513"/>
      <c r="M138" s="505">
        <f t="shared" si="34"/>
        <v>0</v>
      </c>
      <c r="N138" s="513"/>
      <c r="O138" s="505">
        <f t="shared" si="35"/>
        <v>0</v>
      </c>
      <c r="P138" s="505">
        <f t="shared" si="36"/>
        <v>0</v>
      </c>
      <c r="Q138" s="244"/>
      <c r="R138" s="244"/>
      <c r="S138" s="244"/>
      <c r="T138" s="244"/>
      <c r="U138" s="244"/>
    </row>
    <row r="139" spans="2:21">
      <c r="B139" s="145" t="str">
        <f t="shared" si="18"/>
        <v/>
      </c>
      <c r="C139" s="496">
        <f>IF(D94="","-",+C138+1)</f>
        <v>2053</v>
      </c>
      <c r="D139" s="350">
        <f>IF(F138+SUM(E$100:E138)=D$93,F138,D$93-SUM(E$100:E138))</f>
        <v>0</v>
      </c>
      <c r="E139" s="510">
        <f t="shared" si="28"/>
        <v>0</v>
      </c>
      <c r="F139" s="511">
        <f t="shared" si="29"/>
        <v>0</v>
      </c>
      <c r="G139" s="511">
        <f t="shared" si="30"/>
        <v>0</v>
      </c>
      <c r="H139" s="646">
        <f t="shared" si="31"/>
        <v>0</v>
      </c>
      <c r="I139" s="573">
        <f t="shared" si="32"/>
        <v>0</v>
      </c>
      <c r="J139" s="505">
        <f t="shared" si="24"/>
        <v>0</v>
      </c>
      <c r="K139" s="505"/>
      <c r="L139" s="513"/>
      <c r="M139" s="505">
        <f t="shared" si="34"/>
        <v>0</v>
      </c>
      <c r="N139" s="513"/>
      <c r="O139" s="505">
        <f t="shared" si="35"/>
        <v>0</v>
      </c>
      <c r="P139" s="505">
        <f t="shared" si="36"/>
        <v>0</v>
      </c>
      <c r="Q139" s="244"/>
      <c r="R139" s="244"/>
      <c r="S139" s="244"/>
      <c r="T139" s="244"/>
      <c r="U139" s="244"/>
    </row>
    <row r="140" spans="2:21">
      <c r="B140" s="145" t="str">
        <f t="shared" si="18"/>
        <v/>
      </c>
      <c r="C140" s="496">
        <f>IF(D94="","-",+C139+1)</f>
        <v>2054</v>
      </c>
      <c r="D140" s="350">
        <f>IF(F139+SUM(E$100:E139)=D$93,F139,D$93-SUM(E$100:E139))</f>
        <v>0</v>
      </c>
      <c r="E140" s="510">
        <f t="shared" si="28"/>
        <v>0</v>
      </c>
      <c r="F140" s="511">
        <f t="shared" si="29"/>
        <v>0</v>
      </c>
      <c r="G140" s="511">
        <f t="shared" si="30"/>
        <v>0</v>
      </c>
      <c r="H140" s="646">
        <f t="shared" si="31"/>
        <v>0</v>
      </c>
      <c r="I140" s="573">
        <f t="shared" si="32"/>
        <v>0</v>
      </c>
      <c r="J140" s="505">
        <f t="shared" si="24"/>
        <v>0</v>
      </c>
      <c r="K140" s="505"/>
      <c r="L140" s="513"/>
      <c r="M140" s="505">
        <f t="shared" si="34"/>
        <v>0</v>
      </c>
      <c r="N140" s="513"/>
      <c r="O140" s="505">
        <f t="shared" si="35"/>
        <v>0</v>
      </c>
      <c r="P140" s="505">
        <f t="shared" si="36"/>
        <v>0</v>
      </c>
      <c r="Q140" s="244"/>
      <c r="R140" s="244"/>
      <c r="S140" s="244"/>
      <c r="T140" s="244"/>
      <c r="U140" s="244"/>
    </row>
    <row r="141" spans="2:21">
      <c r="B141" s="145" t="str">
        <f t="shared" si="18"/>
        <v/>
      </c>
      <c r="C141" s="496">
        <f>IF(D94="","-",+C140+1)</f>
        <v>2055</v>
      </c>
      <c r="D141" s="350">
        <f>IF(F140+SUM(E$100:E140)=D$93,F140,D$93-SUM(E$100:E140))</f>
        <v>0</v>
      </c>
      <c r="E141" s="510">
        <f t="shared" si="28"/>
        <v>0</v>
      </c>
      <c r="F141" s="511">
        <f t="shared" si="29"/>
        <v>0</v>
      </c>
      <c r="G141" s="511">
        <f t="shared" si="30"/>
        <v>0</v>
      </c>
      <c r="H141" s="646">
        <f t="shared" si="31"/>
        <v>0</v>
      </c>
      <c r="I141" s="573">
        <f t="shared" si="32"/>
        <v>0</v>
      </c>
      <c r="J141" s="505">
        <f t="shared" si="24"/>
        <v>0</v>
      </c>
      <c r="K141" s="505"/>
      <c r="L141" s="513"/>
      <c r="M141" s="505">
        <f t="shared" si="34"/>
        <v>0</v>
      </c>
      <c r="N141" s="513"/>
      <c r="O141" s="505">
        <f t="shared" si="35"/>
        <v>0</v>
      </c>
      <c r="P141" s="505">
        <f t="shared" si="36"/>
        <v>0</v>
      </c>
      <c r="Q141" s="244"/>
      <c r="R141" s="244"/>
      <c r="S141" s="244"/>
      <c r="T141" s="244"/>
      <c r="U141" s="244"/>
    </row>
    <row r="142" spans="2:21">
      <c r="B142" s="145" t="str">
        <f t="shared" si="18"/>
        <v/>
      </c>
      <c r="C142" s="496">
        <f>IF(D94="","-",+C141+1)</f>
        <v>2056</v>
      </c>
      <c r="D142" s="350">
        <f>IF(F141+SUM(E$100:E141)=D$93,F141,D$93-SUM(E$100:E141))</f>
        <v>0</v>
      </c>
      <c r="E142" s="510">
        <f t="shared" si="28"/>
        <v>0</v>
      </c>
      <c r="F142" s="511">
        <f t="shared" si="29"/>
        <v>0</v>
      </c>
      <c r="G142" s="511">
        <f t="shared" si="30"/>
        <v>0</v>
      </c>
      <c r="H142" s="646">
        <f t="shared" si="31"/>
        <v>0</v>
      </c>
      <c r="I142" s="573">
        <f t="shared" si="32"/>
        <v>0</v>
      </c>
      <c r="J142" s="505">
        <f t="shared" si="24"/>
        <v>0</v>
      </c>
      <c r="K142" s="505"/>
      <c r="L142" s="513"/>
      <c r="M142" s="505">
        <f t="shared" si="34"/>
        <v>0</v>
      </c>
      <c r="N142" s="513"/>
      <c r="O142" s="505">
        <f t="shared" si="35"/>
        <v>0</v>
      </c>
      <c r="P142" s="505">
        <f t="shared" si="36"/>
        <v>0</v>
      </c>
      <c r="Q142" s="244"/>
      <c r="R142" s="244"/>
      <c r="S142" s="244"/>
      <c r="T142" s="244"/>
      <c r="U142" s="244"/>
    </row>
    <row r="143" spans="2:21">
      <c r="B143" s="145" t="str">
        <f t="shared" si="18"/>
        <v/>
      </c>
      <c r="C143" s="496">
        <f>IF(D94="","-",+C142+1)</f>
        <v>2057</v>
      </c>
      <c r="D143" s="350">
        <f>IF(F142+SUM(E$100:E142)=D$93,F142,D$93-SUM(E$100:E142))</f>
        <v>0</v>
      </c>
      <c r="E143" s="510">
        <f t="shared" si="28"/>
        <v>0</v>
      </c>
      <c r="F143" s="511">
        <f t="shared" si="29"/>
        <v>0</v>
      </c>
      <c r="G143" s="511">
        <f t="shared" si="30"/>
        <v>0</v>
      </c>
      <c r="H143" s="646">
        <f t="shared" si="31"/>
        <v>0</v>
      </c>
      <c r="I143" s="573">
        <f t="shared" si="32"/>
        <v>0</v>
      </c>
      <c r="J143" s="505">
        <f t="shared" si="24"/>
        <v>0</v>
      </c>
      <c r="K143" s="505"/>
      <c r="L143" s="513"/>
      <c r="M143" s="505">
        <f t="shared" si="34"/>
        <v>0</v>
      </c>
      <c r="N143" s="513"/>
      <c r="O143" s="505">
        <f t="shared" si="35"/>
        <v>0</v>
      </c>
      <c r="P143" s="505">
        <f t="shared" si="36"/>
        <v>0</v>
      </c>
      <c r="Q143" s="244"/>
      <c r="R143" s="244"/>
      <c r="S143" s="244"/>
      <c r="T143" s="244"/>
      <c r="U143" s="244"/>
    </row>
    <row r="144" spans="2:21">
      <c r="B144" s="145" t="str">
        <f t="shared" si="18"/>
        <v/>
      </c>
      <c r="C144" s="496">
        <f>IF(D94="","-",+C143+1)</f>
        <v>2058</v>
      </c>
      <c r="D144" s="350">
        <f>IF(F143+SUM(E$100:E143)=D$93,F143,D$93-SUM(E$100:E143))</f>
        <v>0</v>
      </c>
      <c r="E144" s="510">
        <f t="shared" si="28"/>
        <v>0</v>
      </c>
      <c r="F144" s="511">
        <f t="shared" si="29"/>
        <v>0</v>
      </c>
      <c r="G144" s="511">
        <f t="shared" si="30"/>
        <v>0</v>
      </c>
      <c r="H144" s="646">
        <f t="shared" si="31"/>
        <v>0</v>
      </c>
      <c r="I144" s="573">
        <f t="shared" si="32"/>
        <v>0</v>
      </c>
      <c r="J144" s="505">
        <f t="shared" si="24"/>
        <v>0</v>
      </c>
      <c r="K144" s="505"/>
      <c r="L144" s="513"/>
      <c r="M144" s="505">
        <f t="shared" si="34"/>
        <v>0</v>
      </c>
      <c r="N144" s="513"/>
      <c r="O144" s="505">
        <f t="shared" si="35"/>
        <v>0</v>
      </c>
      <c r="P144" s="505">
        <f t="shared" si="36"/>
        <v>0</v>
      </c>
      <c r="Q144" s="244"/>
      <c r="R144" s="244"/>
      <c r="S144" s="244"/>
      <c r="T144" s="244"/>
      <c r="U144" s="244"/>
    </row>
    <row r="145" spans="2:21">
      <c r="B145" s="145" t="str">
        <f t="shared" si="18"/>
        <v/>
      </c>
      <c r="C145" s="496">
        <f>IF(D94="","-",+C144+1)</f>
        <v>2059</v>
      </c>
      <c r="D145" s="350">
        <f>IF(F144+SUM(E$100:E144)=D$93,F144,D$93-SUM(E$100:E144))</f>
        <v>0</v>
      </c>
      <c r="E145" s="510">
        <f t="shared" si="28"/>
        <v>0</v>
      </c>
      <c r="F145" s="511">
        <f t="shared" si="29"/>
        <v>0</v>
      </c>
      <c r="G145" s="511">
        <f t="shared" si="30"/>
        <v>0</v>
      </c>
      <c r="H145" s="646">
        <f t="shared" si="31"/>
        <v>0</v>
      </c>
      <c r="I145" s="573">
        <f t="shared" si="32"/>
        <v>0</v>
      </c>
      <c r="J145" s="505">
        <f t="shared" si="24"/>
        <v>0</v>
      </c>
      <c r="K145" s="505"/>
      <c r="L145" s="513"/>
      <c r="M145" s="505">
        <f t="shared" si="34"/>
        <v>0</v>
      </c>
      <c r="N145" s="513"/>
      <c r="O145" s="505">
        <f t="shared" si="35"/>
        <v>0</v>
      </c>
      <c r="P145" s="505">
        <f t="shared" si="36"/>
        <v>0</v>
      </c>
      <c r="Q145" s="244"/>
      <c r="R145" s="244"/>
      <c r="S145" s="244"/>
      <c r="T145" s="244"/>
      <c r="U145" s="244"/>
    </row>
    <row r="146" spans="2:21">
      <c r="B146" s="145" t="str">
        <f t="shared" si="18"/>
        <v/>
      </c>
      <c r="C146" s="496">
        <f>IF(D94="","-",+C145+1)</f>
        <v>2060</v>
      </c>
      <c r="D146" s="350">
        <f>IF(F145+SUM(E$100:E145)=D$93,F145,D$93-SUM(E$100:E145))</f>
        <v>0</v>
      </c>
      <c r="E146" s="510">
        <f t="shared" si="28"/>
        <v>0</v>
      </c>
      <c r="F146" s="511">
        <f t="shared" si="29"/>
        <v>0</v>
      </c>
      <c r="G146" s="511">
        <f t="shared" si="30"/>
        <v>0</v>
      </c>
      <c r="H146" s="646">
        <f t="shared" si="31"/>
        <v>0</v>
      </c>
      <c r="I146" s="573">
        <f t="shared" si="32"/>
        <v>0</v>
      </c>
      <c r="J146" s="505">
        <f t="shared" si="24"/>
        <v>0</v>
      </c>
      <c r="K146" s="505"/>
      <c r="L146" s="513"/>
      <c r="M146" s="505">
        <f t="shared" si="34"/>
        <v>0</v>
      </c>
      <c r="N146" s="513"/>
      <c r="O146" s="505">
        <f t="shared" si="35"/>
        <v>0</v>
      </c>
      <c r="P146" s="505">
        <f t="shared" si="36"/>
        <v>0</v>
      </c>
      <c r="Q146" s="244"/>
      <c r="R146" s="244"/>
      <c r="S146" s="244"/>
      <c r="T146" s="244"/>
      <c r="U146" s="244"/>
    </row>
    <row r="147" spans="2:21">
      <c r="B147" s="145" t="str">
        <f t="shared" si="18"/>
        <v/>
      </c>
      <c r="C147" s="496">
        <f>IF(D94="","-",+C146+1)</f>
        <v>2061</v>
      </c>
      <c r="D147" s="350">
        <f>IF(F146+SUM(E$100:E146)=D$93,F146,D$93-SUM(E$100:E146))</f>
        <v>0</v>
      </c>
      <c r="E147" s="510">
        <f t="shared" si="28"/>
        <v>0</v>
      </c>
      <c r="F147" s="511">
        <f t="shared" si="29"/>
        <v>0</v>
      </c>
      <c r="G147" s="511">
        <f t="shared" si="30"/>
        <v>0</v>
      </c>
      <c r="H147" s="646">
        <f t="shared" si="31"/>
        <v>0</v>
      </c>
      <c r="I147" s="573">
        <f t="shared" si="32"/>
        <v>0</v>
      </c>
      <c r="J147" s="505">
        <f t="shared" si="24"/>
        <v>0</v>
      </c>
      <c r="K147" s="505"/>
      <c r="L147" s="513"/>
      <c r="M147" s="505">
        <f t="shared" si="34"/>
        <v>0</v>
      </c>
      <c r="N147" s="513"/>
      <c r="O147" s="505">
        <f t="shared" si="35"/>
        <v>0</v>
      </c>
      <c r="P147" s="505">
        <f t="shared" si="36"/>
        <v>0</v>
      </c>
      <c r="Q147" s="244"/>
      <c r="R147" s="244"/>
      <c r="S147" s="244"/>
      <c r="T147" s="244"/>
      <c r="U147" s="244"/>
    </row>
    <row r="148" spans="2:21">
      <c r="B148" s="145" t="str">
        <f t="shared" si="18"/>
        <v/>
      </c>
      <c r="C148" s="496">
        <f>IF(D94="","-",+C147+1)</f>
        <v>2062</v>
      </c>
      <c r="D148" s="350">
        <f>IF(F147+SUM(E$100:E147)=D$93,F147,D$93-SUM(E$100:E147))</f>
        <v>0</v>
      </c>
      <c r="E148" s="510">
        <f t="shared" si="28"/>
        <v>0</v>
      </c>
      <c r="F148" s="511">
        <f t="shared" si="29"/>
        <v>0</v>
      </c>
      <c r="G148" s="511">
        <f t="shared" si="30"/>
        <v>0</v>
      </c>
      <c r="H148" s="646">
        <f t="shared" si="31"/>
        <v>0</v>
      </c>
      <c r="I148" s="573">
        <f t="shared" si="32"/>
        <v>0</v>
      </c>
      <c r="J148" s="505">
        <f t="shared" si="24"/>
        <v>0</v>
      </c>
      <c r="K148" s="505"/>
      <c r="L148" s="513"/>
      <c r="M148" s="505">
        <f t="shared" si="34"/>
        <v>0</v>
      </c>
      <c r="N148" s="513"/>
      <c r="O148" s="505">
        <f t="shared" si="35"/>
        <v>0</v>
      </c>
      <c r="P148" s="505">
        <f t="shared" si="36"/>
        <v>0</v>
      </c>
      <c r="Q148" s="244"/>
      <c r="R148" s="244"/>
      <c r="S148" s="244"/>
      <c r="T148" s="244"/>
      <c r="U148" s="244"/>
    </row>
    <row r="149" spans="2:21">
      <c r="B149" s="145" t="str">
        <f t="shared" si="18"/>
        <v/>
      </c>
      <c r="C149" s="496">
        <f>IF(D94="","-",+C148+1)</f>
        <v>2063</v>
      </c>
      <c r="D149" s="350">
        <f>IF(F148+SUM(E$100:E148)=D$93,F148,D$93-SUM(E$100:E148))</f>
        <v>0</v>
      </c>
      <c r="E149" s="510">
        <f t="shared" si="28"/>
        <v>0</v>
      </c>
      <c r="F149" s="511">
        <f t="shared" si="29"/>
        <v>0</v>
      </c>
      <c r="G149" s="511">
        <f t="shared" si="30"/>
        <v>0</v>
      </c>
      <c r="H149" s="646">
        <f t="shared" si="31"/>
        <v>0</v>
      </c>
      <c r="I149" s="573">
        <f t="shared" si="32"/>
        <v>0</v>
      </c>
      <c r="J149" s="505">
        <f t="shared" si="24"/>
        <v>0</v>
      </c>
      <c r="K149" s="505"/>
      <c r="L149" s="513"/>
      <c r="M149" s="505">
        <f t="shared" si="34"/>
        <v>0</v>
      </c>
      <c r="N149" s="513"/>
      <c r="O149" s="505">
        <f t="shared" si="35"/>
        <v>0</v>
      </c>
      <c r="P149" s="505">
        <f t="shared" si="36"/>
        <v>0</v>
      </c>
      <c r="Q149" s="244"/>
      <c r="R149" s="244"/>
      <c r="S149" s="244"/>
      <c r="T149" s="244"/>
      <c r="U149" s="244"/>
    </row>
    <row r="150" spans="2:21">
      <c r="B150" s="145" t="str">
        <f t="shared" si="18"/>
        <v/>
      </c>
      <c r="C150" s="496">
        <f>IF(D94="","-",+C149+1)</f>
        <v>2064</v>
      </c>
      <c r="D150" s="350">
        <f>IF(F149+SUM(E$100:E149)=D$93,F149,D$93-SUM(E$100:E149))</f>
        <v>0</v>
      </c>
      <c r="E150" s="510">
        <f t="shared" si="28"/>
        <v>0</v>
      </c>
      <c r="F150" s="511">
        <f t="shared" si="29"/>
        <v>0</v>
      </c>
      <c r="G150" s="511">
        <f t="shared" si="30"/>
        <v>0</v>
      </c>
      <c r="H150" s="646">
        <f t="shared" si="31"/>
        <v>0</v>
      </c>
      <c r="I150" s="573">
        <f t="shared" si="32"/>
        <v>0</v>
      </c>
      <c r="J150" s="505">
        <f t="shared" si="24"/>
        <v>0</v>
      </c>
      <c r="K150" s="505"/>
      <c r="L150" s="513"/>
      <c r="M150" s="505">
        <f t="shared" si="34"/>
        <v>0</v>
      </c>
      <c r="N150" s="513"/>
      <c r="O150" s="505">
        <f t="shared" si="35"/>
        <v>0</v>
      </c>
      <c r="P150" s="505">
        <f t="shared" si="36"/>
        <v>0</v>
      </c>
      <c r="Q150" s="244"/>
      <c r="R150" s="244"/>
      <c r="S150" s="244"/>
      <c r="T150" s="244"/>
      <c r="U150" s="244"/>
    </row>
    <row r="151" spans="2:21">
      <c r="B151" s="145" t="str">
        <f t="shared" si="18"/>
        <v/>
      </c>
      <c r="C151" s="496">
        <f>IF(D94="","-",+C150+1)</f>
        <v>2065</v>
      </c>
      <c r="D151" s="350">
        <f>IF(F150+SUM(E$100:E150)=D$93,F150,D$93-SUM(E$100:E150))</f>
        <v>0</v>
      </c>
      <c r="E151" s="510">
        <f t="shared" si="28"/>
        <v>0</v>
      </c>
      <c r="F151" s="511">
        <f t="shared" si="29"/>
        <v>0</v>
      </c>
      <c r="G151" s="511">
        <f t="shared" si="30"/>
        <v>0</v>
      </c>
      <c r="H151" s="646">
        <f t="shared" si="31"/>
        <v>0</v>
      </c>
      <c r="I151" s="573">
        <f t="shared" si="32"/>
        <v>0</v>
      </c>
      <c r="J151" s="505">
        <f t="shared" si="24"/>
        <v>0</v>
      </c>
      <c r="K151" s="505"/>
      <c r="L151" s="513"/>
      <c r="M151" s="505">
        <f t="shared" si="34"/>
        <v>0</v>
      </c>
      <c r="N151" s="513"/>
      <c r="O151" s="505">
        <f t="shared" si="35"/>
        <v>0</v>
      </c>
      <c r="P151" s="505">
        <f t="shared" si="36"/>
        <v>0</v>
      </c>
      <c r="Q151" s="244"/>
      <c r="R151" s="244"/>
      <c r="S151" s="244"/>
      <c r="T151" s="244"/>
      <c r="U151" s="244"/>
    </row>
    <row r="152" spans="2:21">
      <c r="B152" s="145" t="str">
        <f t="shared" si="18"/>
        <v/>
      </c>
      <c r="C152" s="496">
        <f>IF(D94="","-",+C151+1)</f>
        <v>2066</v>
      </c>
      <c r="D152" s="350">
        <f>IF(F151+SUM(E$100:E151)=D$93,F151,D$93-SUM(E$100:E151))</f>
        <v>0</v>
      </c>
      <c r="E152" s="510">
        <f t="shared" si="28"/>
        <v>0</v>
      </c>
      <c r="F152" s="511">
        <f t="shared" si="29"/>
        <v>0</v>
      </c>
      <c r="G152" s="511">
        <f t="shared" si="30"/>
        <v>0</v>
      </c>
      <c r="H152" s="646">
        <f t="shared" si="31"/>
        <v>0</v>
      </c>
      <c r="I152" s="573">
        <f t="shared" si="32"/>
        <v>0</v>
      </c>
      <c r="J152" s="505">
        <f t="shared" si="24"/>
        <v>0</v>
      </c>
      <c r="K152" s="505"/>
      <c r="L152" s="513"/>
      <c r="M152" s="505">
        <f t="shared" si="34"/>
        <v>0</v>
      </c>
      <c r="N152" s="513"/>
      <c r="O152" s="505">
        <f t="shared" si="35"/>
        <v>0</v>
      </c>
      <c r="P152" s="505">
        <f t="shared" si="36"/>
        <v>0</v>
      </c>
      <c r="Q152" s="244"/>
      <c r="R152" s="244"/>
      <c r="S152" s="244"/>
      <c r="T152" s="244"/>
      <c r="U152" s="244"/>
    </row>
    <row r="153" spans="2:21">
      <c r="B153" s="145" t="str">
        <f t="shared" si="18"/>
        <v/>
      </c>
      <c r="C153" s="496">
        <f>IF(D94="","-",+C152+1)</f>
        <v>2067</v>
      </c>
      <c r="D153" s="350">
        <f>IF(F152+SUM(E$100:E152)=D$93,F152,D$93-SUM(E$100:E152))</f>
        <v>0</v>
      </c>
      <c r="E153" s="510">
        <f t="shared" si="28"/>
        <v>0</v>
      </c>
      <c r="F153" s="511">
        <f t="shared" si="29"/>
        <v>0</v>
      </c>
      <c r="G153" s="511">
        <f t="shared" si="30"/>
        <v>0</v>
      </c>
      <c r="H153" s="646">
        <f t="shared" si="31"/>
        <v>0</v>
      </c>
      <c r="I153" s="573">
        <f t="shared" si="32"/>
        <v>0</v>
      </c>
      <c r="J153" s="505">
        <f t="shared" si="24"/>
        <v>0</v>
      </c>
      <c r="K153" s="505"/>
      <c r="L153" s="513"/>
      <c r="M153" s="505">
        <f t="shared" si="34"/>
        <v>0</v>
      </c>
      <c r="N153" s="513"/>
      <c r="O153" s="505">
        <f t="shared" si="35"/>
        <v>0</v>
      </c>
      <c r="P153" s="505">
        <f t="shared" si="36"/>
        <v>0</v>
      </c>
      <c r="Q153" s="244"/>
      <c r="R153" s="244"/>
      <c r="S153" s="244"/>
      <c r="T153" s="244"/>
      <c r="U153" s="244"/>
    </row>
    <row r="154" spans="2:21">
      <c r="B154" s="145" t="str">
        <f t="shared" si="18"/>
        <v/>
      </c>
      <c r="C154" s="496">
        <f>IF(D94="","-",+C153+1)</f>
        <v>2068</v>
      </c>
      <c r="D154" s="350">
        <f>IF(F153+SUM(E$100:E153)=D$93,F153,D$93-SUM(E$100:E153))</f>
        <v>0</v>
      </c>
      <c r="E154" s="510">
        <f t="shared" si="28"/>
        <v>0</v>
      </c>
      <c r="F154" s="511">
        <f t="shared" si="29"/>
        <v>0</v>
      </c>
      <c r="G154" s="511">
        <f t="shared" si="30"/>
        <v>0</v>
      </c>
      <c r="H154" s="646">
        <f t="shared" si="31"/>
        <v>0</v>
      </c>
      <c r="I154" s="573">
        <f t="shared" si="32"/>
        <v>0</v>
      </c>
      <c r="J154" s="505">
        <f t="shared" si="24"/>
        <v>0</v>
      </c>
      <c r="K154" s="505"/>
      <c r="L154" s="513"/>
      <c r="M154" s="505">
        <f t="shared" si="34"/>
        <v>0</v>
      </c>
      <c r="N154" s="513"/>
      <c r="O154" s="505">
        <f t="shared" si="35"/>
        <v>0</v>
      </c>
      <c r="P154" s="505">
        <f t="shared" si="36"/>
        <v>0</v>
      </c>
      <c r="Q154" s="244"/>
      <c r="R154" s="244"/>
      <c r="S154" s="244"/>
      <c r="T154" s="244"/>
      <c r="U154" s="244"/>
    </row>
    <row r="155" spans="2:21" ht="13.5" thickBot="1">
      <c r="B155" s="145" t="str">
        <f t="shared" si="18"/>
        <v/>
      </c>
      <c r="C155" s="525">
        <f>IF(D94="","-",+C154+1)</f>
        <v>2069</v>
      </c>
      <c r="D155" s="619">
        <f>IF(F154+SUM(E$100:E154)=D$93,F154,D$93-SUM(E$100:E154))</f>
        <v>0</v>
      </c>
      <c r="E155" s="527">
        <f t="shared" si="28"/>
        <v>0</v>
      </c>
      <c r="F155" s="528">
        <f t="shared" si="29"/>
        <v>0</v>
      </c>
      <c r="G155" s="528">
        <f t="shared" si="30"/>
        <v>0</v>
      </c>
      <c r="H155" s="646">
        <f t="shared" si="31"/>
        <v>0</v>
      </c>
      <c r="I155" s="574">
        <f t="shared" si="32"/>
        <v>0</v>
      </c>
      <c r="J155" s="532">
        <f t="shared" si="24"/>
        <v>0</v>
      </c>
      <c r="K155" s="505"/>
      <c r="L155" s="531"/>
      <c r="M155" s="532">
        <f t="shared" si="34"/>
        <v>0</v>
      </c>
      <c r="N155" s="531"/>
      <c r="O155" s="532">
        <f t="shared" si="35"/>
        <v>0</v>
      </c>
      <c r="P155" s="532">
        <f t="shared" si="36"/>
        <v>0</v>
      </c>
      <c r="Q155" s="244"/>
      <c r="R155" s="244"/>
      <c r="S155" s="244"/>
      <c r="T155" s="244"/>
      <c r="U155" s="244"/>
    </row>
    <row r="156" spans="2:21">
      <c r="C156" s="350" t="s">
        <v>75</v>
      </c>
      <c r="D156" s="295"/>
      <c r="E156" s="295">
        <f>SUM(E100:E155)</f>
        <v>10218098</v>
      </c>
      <c r="F156" s="295"/>
      <c r="G156" s="295"/>
      <c r="H156" s="295">
        <f>SUM(H100:H155)</f>
        <v>27384654.387718484</v>
      </c>
      <c r="I156" s="295">
        <f>SUM(I100:I155)</f>
        <v>27384654.387718484</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8" priority="1" stopIfTrue="1" operator="equal">
      <formula>$I$10</formula>
    </cfRule>
  </conditionalFormatting>
  <conditionalFormatting sqref="C100:C155">
    <cfRule type="cellIs" dxfId="37"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0"/>
  <dimension ref="A1:U163"/>
  <sheetViews>
    <sheetView zoomScaleNormal="100" zoomScaleSheetLayoutView="78"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8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225892.94644088054</v>
      </c>
      <c r="P5" s="244"/>
      <c r="R5" s="244"/>
      <c r="S5" s="244"/>
      <c r="T5" s="244"/>
      <c r="U5" s="244"/>
    </row>
    <row r="6" spans="1:21" ht="15.75">
      <c r="C6" s="236"/>
      <c r="D6" s="293"/>
      <c r="E6" s="244"/>
      <c r="F6" s="244"/>
      <c r="G6" s="244"/>
      <c r="H6" s="450"/>
      <c r="I6" s="450"/>
      <c r="J6" s="451"/>
      <c r="K6" s="452" t="s">
        <v>243</v>
      </c>
      <c r="L6" s="453"/>
      <c r="M6" s="279"/>
      <c r="N6" s="454">
        <f>VLOOKUP(I10,C17:I73,6)</f>
        <v>225892.94644088054</v>
      </c>
      <c r="O6" s="244"/>
      <c r="P6" s="244"/>
      <c r="R6" s="244"/>
      <c r="S6" s="244"/>
      <c r="T6" s="244"/>
      <c r="U6" s="244"/>
    </row>
    <row r="7" spans="1:21" ht="13.5" thickBot="1">
      <c r="C7" s="455" t="s">
        <v>46</v>
      </c>
      <c r="D7" s="456" t="s">
        <v>215</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260</v>
      </c>
      <c r="E9" s="466"/>
      <c r="F9" s="466"/>
      <c r="G9" s="466"/>
      <c r="H9" s="466"/>
      <c r="I9" s="467"/>
      <c r="J9" s="468"/>
      <c r="O9" s="469"/>
      <c r="P9" s="279"/>
      <c r="R9" s="244"/>
      <c r="S9" s="244"/>
      <c r="T9" s="244"/>
      <c r="U9" s="244"/>
    </row>
    <row r="10" spans="1:21">
      <c r="C10" s="470" t="s">
        <v>49</v>
      </c>
      <c r="D10" s="471">
        <v>1864625.01</v>
      </c>
      <c r="E10" s="300" t="s">
        <v>50</v>
      </c>
      <c r="F10" s="469"/>
      <c r="G10" s="409"/>
      <c r="H10" s="409"/>
      <c r="I10" s="472">
        <f>+'OKT.WS.F.BPU.ATRR.Projected'!R100</f>
        <v>2020</v>
      </c>
      <c r="J10" s="468"/>
      <c r="K10" s="295" t="s">
        <v>51</v>
      </c>
      <c r="O10" s="279"/>
      <c r="P10" s="279"/>
      <c r="R10" s="244"/>
      <c r="S10" s="244"/>
      <c r="T10" s="244"/>
      <c r="U10" s="244"/>
    </row>
    <row r="11" spans="1:21">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0.1064171487591708</v>
      </c>
      <c r="J12" s="414"/>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54841.912058823531</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2014</v>
      </c>
      <c r="D17" s="497">
        <v>669000</v>
      </c>
      <c r="E17" s="498">
        <v>5786.5857813386465</v>
      </c>
      <c r="F17" s="497">
        <v>663213.41421866138</v>
      </c>
      <c r="G17" s="498">
        <v>48353.352128136466</v>
      </c>
      <c r="H17" s="500">
        <v>48353.352128136466</v>
      </c>
      <c r="I17" s="501">
        <v>0</v>
      </c>
      <c r="J17" s="501"/>
      <c r="K17" s="502">
        <f t="shared" ref="K17:K22" si="1">G17</f>
        <v>48353.352128136466</v>
      </c>
      <c r="L17" s="503">
        <f t="shared" ref="L17:L22" si="2">IF(K17&lt;&gt;0,+G17-K17,0)</f>
        <v>0</v>
      </c>
      <c r="M17" s="502">
        <f t="shared" ref="M17:M22" si="3">H17</f>
        <v>48353.352128136466</v>
      </c>
      <c r="N17" s="504">
        <f>IF(M17&lt;&gt;0,+H17-M17,0)</f>
        <v>0</v>
      </c>
      <c r="O17" s="505">
        <f>+N17-L17</f>
        <v>0</v>
      </c>
      <c r="P17" s="279"/>
      <c r="R17" s="244"/>
      <c r="S17" s="244"/>
      <c r="T17" s="244"/>
      <c r="U17" s="244"/>
    </row>
    <row r="18" spans="2:21">
      <c r="B18" s="145" t="str">
        <f t="shared" si="0"/>
        <v/>
      </c>
      <c r="C18" s="496">
        <f>IF(D11="","-",+C17+1)</f>
        <v>2015</v>
      </c>
      <c r="D18" s="615">
        <v>663213.41421866138</v>
      </c>
      <c r="E18" s="614">
        <v>32256.539821806971</v>
      </c>
      <c r="F18" s="615">
        <v>630956.87439685443</v>
      </c>
      <c r="G18" s="614">
        <v>97286.386538537452</v>
      </c>
      <c r="H18" s="618">
        <v>97286.386538537452</v>
      </c>
      <c r="I18" s="501">
        <v>0</v>
      </c>
      <c r="J18" s="501"/>
      <c r="K18" s="507">
        <f t="shared" si="1"/>
        <v>97286.386538537452</v>
      </c>
      <c r="L18" s="508">
        <f t="shared" si="2"/>
        <v>0</v>
      </c>
      <c r="M18" s="507">
        <f t="shared" si="3"/>
        <v>97286.386538537452</v>
      </c>
      <c r="N18" s="505">
        <f>IF(M18&lt;&gt;0,+H18-M18,0)</f>
        <v>0</v>
      </c>
      <c r="O18" s="505">
        <f>+N18-L18</f>
        <v>0</v>
      </c>
      <c r="P18" s="279"/>
      <c r="R18" s="244"/>
      <c r="S18" s="244"/>
      <c r="T18" s="244"/>
      <c r="U18" s="244"/>
    </row>
    <row r="19" spans="2:21">
      <c r="B19" s="145" t="str">
        <f t="shared" si="0"/>
        <v>IU</v>
      </c>
      <c r="C19" s="496">
        <f>IF(D11="","-",+C18+1)</f>
        <v>2016</v>
      </c>
      <c r="D19" s="615">
        <v>1826581.8843968543</v>
      </c>
      <c r="E19" s="614">
        <v>38745.889906300305</v>
      </c>
      <c r="F19" s="615">
        <v>1787835.9944905541</v>
      </c>
      <c r="G19" s="614">
        <v>231618.29862330039</v>
      </c>
      <c r="H19" s="618">
        <v>231618.29862330039</v>
      </c>
      <c r="I19" s="501">
        <f>H19-G19</f>
        <v>0</v>
      </c>
      <c r="J19" s="501"/>
      <c r="K19" s="507">
        <f t="shared" si="1"/>
        <v>231618.29862330039</v>
      </c>
      <c r="L19" s="508">
        <f t="shared" si="2"/>
        <v>0</v>
      </c>
      <c r="M19" s="507">
        <f t="shared" si="3"/>
        <v>231618.29862330039</v>
      </c>
      <c r="N19" s="505">
        <f t="shared" ref="N19:N73" si="4">IF(M19&lt;&gt;0,+H19-M19,0)</f>
        <v>0</v>
      </c>
      <c r="O19" s="505">
        <f t="shared" ref="O19:O73" si="5">+N19-L19</f>
        <v>0</v>
      </c>
      <c r="P19" s="279"/>
      <c r="R19" s="244"/>
      <c r="S19" s="244"/>
      <c r="T19" s="244"/>
      <c r="U19" s="244"/>
    </row>
    <row r="20" spans="2:21">
      <c r="B20" s="145" t="str">
        <f t="shared" si="0"/>
        <v/>
      </c>
      <c r="C20" s="496">
        <f>IF(D11="","-",+C19+1)</f>
        <v>2017</v>
      </c>
      <c r="D20" s="615">
        <v>1787835.9944905541</v>
      </c>
      <c r="E20" s="614">
        <v>36662.21925080863</v>
      </c>
      <c r="F20" s="615">
        <v>1751173.7752397454</v>
      </c>
      <c r="G20" s="614">
        <v>231201.53737593384</v>
      </c>
      <c r="H20" s="618">
        <v>231201.53737593384</v>
      </c>
      <c r="I20" s="501">
        <f t="shared" ref="I20:I73" si="6">H20-G20</f>
        <v>0</v>
      </c>
      <c r="J20" s="501"/>
      <c r="K20" s="507">
        <f t="shared" si="1"/>
        <v>231201.53737593384</v>
      </c>
      <c r="L20" s="508">
        <f t="shared" si="2"/>
        <v>0</v>
      </c>
      <c r="M20" s="507">
        <f t="shared" si="3"/>
        <v>231201.53737593384</v>
      </c>
      <c r="N20" s="505">
        <f>IF(M20&lt;&gt;0,+H20-M20,0)</f>
        <v>0</v>
      </c>
      <c r="O20" s="505">
        <f>+N20-L20</f>
        <v>0</v>
      </c>
      <c r="P20" s="279"/>
      <c r="R20" s="244"/>
      <c r="S20" s="244"/>
      <c r="T20" s="244"/>
      <c r="U20" s="244"/>
    </row>
    <row r="21" spans="2:21">
      <c r="B21" s="145" t="str">
        <f t="shared" si="0"/>
        <v/>
      </c>
      <c r="C21" s="496">
        <f>IF(D11="","-",+C20+1)</f>
        <v>2018</v>
      </c>
      <c r="D21" s="615">
        <v>1751173.7752397454</v>
      </c>
      <c r="E21" s="614">
        <v>45729.148838219895</v>
      </c>
      <c r="F21" s="615">
        <v>1705444.6264015255</v>
      </c>
      <c r="G21" s="614">
        <v>248789.97176998571</v>
      </c>
      <c r="H21" s="618">
        <v>248789.97176998571</v>
      </c>
      <c r="I21" s="501">
        <v>0</v>
      </c>
      <c r="J21" s="501"/>
      <c r="K21" s="507">
        <f t="shared" si="1"/>
        <v>248789.97176998571</v>
      </c>
      <c r="L21" s="508">
        <f t="shared" si="2"/>
        <v>0</v>
      </c>
      <c r="M21" s="507">
        <f t="shared" si="3"/>
        <v>248789.97176998571</v>
      </c>
      <c r="N21" s="505">
        <f>IF(M21&lt;&gt;0,+H21-M21,0)</f>
        <v>0</v>
      </c>
      <c r="O21" s="505">
        <f>+N21-L21</f>
        <v>0</v>
      </c>
      <c r="P21" s="279"/>
      <c r="R21" s="244"/>
      <c r="S21" s="244"/>
      <c r="T21" s="244"/>
      <c r="U21" s="244"/>
    </row>
    <row r="22" spans="2:21">
      <c r="B22" s="145" t="str">
        <f t="shared" si="0"/>
        <v/>
      </c>
      <c r="C22" s="496">
        <f>IF(D11="","-",+C21+1)</f>
        <v>2019</v>
      </c>
      <c r="D22" s="615">
        <v>1705444.6264015255</v>
      </c>
      <c r="E22" s="614">
        <v>45729.148838219895</v>
      </c>
      <c r="F22" s="615">
        <v>1659715.4775633055</v>
      </c>
      <c r="G22" s="614">
        <v>243417.20711036975</v>
      </c>
      <c r="H22" s="618">
        <v>243417.20711036975</v>
      </c>
      <c r="I22" s="501">
        <f t="shared" si="6"/>
        <v>0</v>
      </c>
      <c r="J22" s="501"/>
      <c r="K22" s="507">
        <f t="shared" si="1"/>
        <v>243417.20711036975</v>
      </c>
      <c r="L22" s="508">
        <f t="shared" si="2"/>
        <v>0</v>
      </c>
      <c r="M22" s="507">
        <f t="shared" si="3"/>
        <v>243417.20711036975</v>
      </c>
      <c r="N22" s="505">
        <f>IF(M22&lt;&gt;0,+H22-M22,0)</f>
        <v>0</v>
      </c>
      <c r="O22" s="505">
        <f>+N22-L22</f>
        <v>0</v>
      </c>
      <c r="P22" s="279"/>
      <c r="R22" s="244"/>
      <c r="S22" s="244"/>
      <c r="T22" s="244"/>
      <c r="U22" s="244"/>
    </row>
    <row r="23" spans="2:21">
      <c r="B23" s="145" t="str">
        <f t="shared" si="0"/>
        <v/>
      </c>
      <c r="C23" s="496">
        <f>IF(D11="","-",+C22+1)</f>
        <v>2020</v>
      </c>
      <c r="D23" s="615">
        <v>1659715.4775633055</v>
      </c>
      <c r="E23" s="614">
        <v>54599.54020149546</v>
      </c>
      <c r="F23" s="615">
        <v>1605115.9373618101</v>
      </c>
      <c r="G23" s="614">
        <v>225892.94644088054</v>
      </c>
      <c r="H23" s="618">
        <v>225892.94644088054</v>
      </c>
      <c r="I23" s="501">
        <f t="shared" si="6"/>
        <v>0</v>
      </c>
      <c r="J23" s="501"/>
      <c r="K23" s="507">
        <f t="shared" ref="K23" si="7">G23</f>
        <v>225892.94644088054</v>
      </c>
      <c r="L23" s="508">
        <f t="shared" ref="L23" si="8">IF(K23&lt;&gt;0,+G23-K23,0)</f>
        <v>0</v>
      </c>
      <c r="M23" s="507">
        <f t="shared" ref="M23" si="9">H23</f>
        <v>225892.94644088054</v>
      </c>
      <c r="N23" s="505">
        <f t="shared" si="4"/>
        <v>0</v>
      </c>
      <c r="O23" s="505">
        <f t="shared" si="5"/>
        <v>0</v>
      </c>
      <c r="P23" s="279"/>
      <c r="R23" s="244"/>
      <c r="S23" s="244"/>
      <c r="T23" s="244"/>
      <c r="U23" s="244"/>
    </row>
    <row r="24" spans="2:21">
      <c r="B24" s="145" t="str">
        <f t="shared" si="0"/>
        <v>IU</v>
      </c>
      <c r="C24" s="496">
        <f>IF(D11="","-",+C23+1)</f>
        <v>2021</v>
      </c>
      <c r="D24" s="615">
        <v>1595542.4584611962</v>
      </c>
      <c r="E24" s="614">
        <v>60149.193870967742</v>
      </c>
      <c r="F24" s="615">
        <v>1535393.2645902284</v>
      </c>
      <c r="G24" s="614">
        <v>229509.43964714528</v>
      </c>
      <c r="H24" s="618">
        <v>229509.43964714528</v>
      </c>
      <c r="I24" s="501">
        <f t="shared" si="6"/>
        <v>0</v>
      </c>
      <c r="J24" s="501"/>
      <c r="K24" s="507">
        <f t="shared" ref="K24" si="10">G24</f>
        <v>229509.43964714528</v>
      </c>
      <c r="L24" s="508">
        <f t="shared" ref="L24" si="11">IF(K24&lt;&gt;0,+G24-K24,0)</f>
        <v>0</v>
      </c>
      <c r="M24" s="507">
        <f t="shared" ref="M24" si="12">H24</f>
        <v>229509.43964714528</v>
      </c>
      <c r="N24" s="505">
        <f t="shared" si="4"/>
        <v>0</v>
      </c>
      <c r="O24" s="505">
        <f t="shared" si="5"/>
        <v>0</v>
      </c>
      <c r="P24" s="279"/>
      <c r="R24" s="244"/>
      <c r="S24" s="244"/>
      <c r="T24" s="244"/>
      <c r="U24" s="244"/>
    </row>
    <row r="25" spans="2:21">
      <c r="B25" s="145" t="str">
        <f t="shared" si="0"/>
        <v>IU</v>
      </c>
      <c r="C25" s="496">
        <f>IF(D11="","-",+C24+1)</f>
        <v>2022</v>
      </c>
      <c r="D25" s="509">
        <f>IF(F24+SUM(E$17:E24)=D$10,F24,D$10-SUM(E$17:E24))</f>
        <v>1544966.7434908424</v>
      </c>
      <c r="E25" s="510">
        <f t="shared" ref="E25:E73" si="13">IF(+$I$14&lt;F24,$I$14,D25)</f>
        <v>54841.912058823531</v>
      </c>
      <c r="F25" s="511">
        <f t="shared" ref="F25:F73" si="14">+D25-E25</f>
        <v>1490124.8314320189</v>
      </c>
      <c r="G25" s="512">
        <f t="shared" ref="G25:G73" si="15">(D25+F25)/2*I$12+E25</f>
        <v>216334.80787195961</v>
      </c>
      <c r="H25" s="478">
        <f t="shared" ref="H25:H73" si="16">+(D25+F25)/2*I$13+E25</f>
        <v>216334.80787195961</v>
      </c>
      <c r="I25" s="501">
        <f t="shared" si="6"/>
        <v>0</v>
      </c>
      <c r="J25" s="501"/>
      <c r="K25" s="513"/>
      <c r="L25" s="505">
        <f t="shared" ref="L25:L73" si="17">IF(K25&lt;&gt;0,+G25-K25,0)</f>
        <v>0</v>
      </c>
      <c r="M25" s="513"/>
      <c r="N25" s="505">
        <f t="shared" si="4"/>
        <v>0</v>
      </c>
      <c r="O25" s="505">
        <f t="shared" si="5"/>
        <v>0</v>
      </c>
      <c r="P25" s="279"/>
      <c r="R25" s="244"/>
      <c r="S25" s="244"/>
      <c r="T25" s="244"/>
      <c r="U25" s="244"/>
    </row>
    <row r="26" spans="2:21">
      <c r="B26" s="145" t="str">
        <f t="shared" si="0"/>
        <v/>
      </c>
      <c r="C26" s="496">
        <f>IF(D11="","-",+C25+1)</f>
        <v>2023</v>
      </c>
      <c r="D26" s="509">
        <f>IF(F25+SUM(E$17:E25)=D$10,F25,D$10-SUM(E$17:E25))</f>
        <v>1490124.8314320189</v>
      </c>
      <c r="E26" s="510">
        <f t="shared" si="13"/>
        <v>54841.912058823531</v>
      </c>
      <c r="F26" s="511">
        <f t="shared" si="14"/>
        <v>1435282.9193731954</v>
      </c>
      <c r="G26" s="512">
        <f t="shared" si="15"/>
        <v>210498.68795815841</v>
      </c>
      <c r="H26" s="478">
        <f t="shared" si="16"/>
        <v>210498.68795815841</v>
      </c>
      <c r="I26" s="501">
        <f t="shared" si="6"/>
        <v>0</v>
      </c>
      <c r="J26" s="501"/>
      <c r="K26" s="513"/>
      <c r="L26" s="505">
        <f t="shared" si="17"/>
        <v>0</v>
      </c>
      <c r="M26" s="513"/>
      <c r="N26" s="505">
        <f t="shared" si="4"/>
        <v>0</v>
      </c>
      <c r="O26" s="505">
        <f t="shared" si="5"/>
        <v>0</v>
      </c>
      <c r="P26" s="279"/>
      <c r="R26" s="244"/>
      <c r="S26" s="244"/>
      <c r="T26" s="244"/>
      <c r="U26" s="244"/>
    </row>
    <row r="27" spans="2:21">
      <c r="B27" s="145" t="str">
        <f t="shared" si="0"/>
        <v/>
      </c>
      <c r="C27" s="496">
        <f>IF(D11="","-",+C26+1)</f>
        <v>2024</v>
      </c>
      <c r="D27" s="509">
        <f>IF(F26+SUM(E$17:E26)=D$10,F26,D$10-SUM(E$17:E26))</f>
        <v>1435282.9193731954</v>
      </c>
      <c r="E27" s="510">
        <f t="shared" si="13"/>
        <v>54841.912058823531</v>
      </c>
      <c r="F27" s="511">
        <f t="shared" si="14"/>
        <v>1380441.0073143719</v>
      </c>
      <c r="G27" s="512">
        <f t="shared" si="15"/>
        <v>204662.56804435723</v>
      </c>
      <c r="H27" s="478">
        <f t="shared" si="16"/>
        <v>204662.56804435723</v>
      </c>
      <c r="I27" s="501">
        <f t="shared" si="6"/>
        <v>0</v>
      </c>
      <c r="J27" s="501"/>
      <c r="K27" s="513"/>
      <c r="L27" s="505">
        <f t="shared" si="17"/>
        <v>0</v>
      </c>
      <c r="M27" s="513"/>
      <c r="N27" s="505">
        <f t="shared" si="4"/>
        <v>0</v>
      </c>
      <c r="O27" s="505">
        <f t="shared" si="5"/>
        <v>0</v>
      </c>
      <c r="P27" s="279"/>
      <c r="R27" s="244"/>
      <c r="S27" s="244"/>
      <c r="T27" s="244"/>
      <c r="U27" s="244"/>
    </row>
    <row r="28" spans="2:21">
      <c r="B28" s="145" t="str">
        <f t="shared" si="0"/>
        <v/>
      </c>
      <c r="C28" s="496">
        <f>IF(D11="","-",+C27+1)</f>
        <v>2025</v>
      </c>
      <c r="D28" s="509">
        <f>IF(F27+SUM(E$17:E27)=D$10,F27,D$10-SUM(E$17:E27))</f>
        <v>1380441.0073143719</v>
      </c>
      <c r="E28" s="510">
        <f t="shared" si="13"/>
        <v>54841.912058823531</v>
      </c>
      <c r="F28" s="511">
        <f t="shared" si="14"/>
        <v>1325599.0952555484</v>
      </c>
      <c r="G28" s="512">
        <f t="shared" si="15"/>
        <v>198826.44813055603</v>
      </c>
      <c r="H28" s="478">
        <f t="shared" si="16"/>
        <v>198826.44813055603</v>
      </c>
      <c r="I28" s="501">
        <f t="shared" si="6"/>
        <v>0</v>
      </c>
      <c r="J28" s="501"/>
      <c r="K28" s="513"/>
      <c r="L28" s="505">
        <f t="shared" si="17"/>
        <v>0</v>
      </c>
      <c r="M28" s="513"/>
      <c r="N28" s="505">
        <f t="shared" si="4"/>
        <v>0</v>
      </c>
      <c r="O28" s="505">
        <f t="shared" si="5"/>
        <v>0</v>
      </c>
      <c r="P28" s="279"/>
      <c r="R28" s="244"/>
      <c r="S28" s="244"/>
      <c r="T28" s="244"/>
      <c r="U28" s="244"/>
    </row>
    <row r="29" spans="2:21">
      <c r="B29" s="145" t="str">
        <f t="shared" si="0"/>
        <v/>
      </c>
      <c r="C29" s="496">
        <f>IF(D11="","-",+C28+1)</f>
        <v>2026</v>
      </c>
      <c r="D29" s="509">
        <f>IF(F28+SUM(E$17:E28)=D$10,F28,D$10-SUM(E$17:E28))</f>
        <v>1325599.0952555484</v>
      </c>
      <c r="E29" s="510">
        <f t="shared" si="13"/>
        <v>54841.912058823531</v>
      </c>
      <c r="F29" s="511">
        <f t="shared" si="14"/>
        <v>1270757.1831967249</v>
      </c>
      <c r="G29" s="512">
        <f t="shared" si="15"/>
        <v>192990.32821675486</v>
      </c>
      <c r="H29" s="478">
        <f t="shared" si="16"/>
        <v>192990.32821675486</v>
      </c>
      <c r="I29" s="501">
        <f t="shared" si="6"/>
        <v>0</v>
      </c>
      <c r="J29" s="501"/>
      <c r="K29" s="513"/>
      <c r="L29" s="505">
        <f t="shared" si="17"/>
        <v>0</v>
      </c>
      <c r="M29" s="513"/>
      <c r="N29" s="505">
        <f t="shared" si="4"/>
        <v>0</v>
      </c>
      <c r="O29" s="505">
        <f t="shared" si="5"/>
        <v>0</v>
      </c>
      <c r="P29" s="279"/>
      <c r="R29" s="244"/>
      <c r="S29" s="244"/>
      <c r="T29" s="244"/>
      <c r="U29" s="244"/>
    </row>
    <row r="30" spans="2:21">
      <c r="B30" s="145" t="str">
        <f t="shared" si="0"/>
        <v/>
      </c>
      <c r="C30" s="496">
        <f>IF(D11="","-",+C29+1)</f>
        <v>2027</v>
      </c>
      <c r="D30" s="509">
        <f>IF(F29+SUM(E$17:E29)=D$10,F29,D$10-SUM(E$17:E29))</f>
        <v>1270757.1831967249</v>
      </c>
      <c r="E30" s="510">
        <f t="shared" si="13"/>
        <v>54841.912058823531</v>
      </c>
      <c r="F30" s="511">
        <f t="shared" si="14"/>
        <v>1215915.2711379013</v>
      </c>
      <c r="G30" s="512">
        <f t="shared" si="15"/>
        <v>187154.20830295366</v>
      </c>
      <c r="H30" s="478">
        <f t="shared" si="16"/>
        <v>187154.20830295366</v>
      </c>
      <c r="I30" s="501">
        <f t="shared" si="6"/>
        <v>0</v>
      </c>
      <c r="J30" s="501"/>
      <c r="K30" s="513"/>
      <c r="L30" s="505">
        <f t="shared" si="17"/>
        <v>0</v>
      </c>
      <c r="M30" s="513"/>
      <c r="N30" s="505">
        <f t="shared" si="4"/>
        <v>0</v>
      </c>
      <c r="O30" s="505">
        <f t="shared" si="5"/>
        <v>0</v>
      </c>
      <c r="P30" s="279"/>
      <c r="R30" s="244"/>
      <c r="S30" s="244"/>
      <c r="T30" s="244"/>
      <c r="U30" s="244"/>
    </row>
    <row r="31" spans="2:21">
      <c r="B31" s="145" t="str">
        <f t="shared" si="0"/>
        <v/>
      </c>
      <c r="C31" s="496">
        <f>IF(D11="","-",+C30+1)</f>
        <v>2028</v>
      </c>
      <c r="D31" s="509">
        <f>IF(F30+SUM(E$17:E30)=D$10,F30,D$10-SUM(E$17:E30))</f>
        <v>1215915.2711379013</v>
      </c>
      <c r="E31" s="510">
        <f t="shared" si="13"/>
        <v>54841.912058823531</v>
      </c>
      <c r="F31" s="511">
        <f t="shared" si="14"/>
        <v>1161073.3590790778</v>
      </c>
      <c r="G31" s="512">
        <f t="shared" si="15"/>
        <v>181318.08838915249</v>
      </c>
      <c r="H31" s="478">
        <f t="shared" si="16"/>
        <v>181318.08838915249</v>
      </c>
      <c r="I31" s="501">
        <f t="shared" si="6"/>
        <v>0</v>
      </c>
      <c r="J31" s="501"/>
      <c r="K31" s="513"/>
      <c r="L31" s="505">
        <f t="shared" si="17"/>
        <v>0</v>
      </c>
      <c r="M31" s="513"/>
      <c r="N31" s="505">
        <f t="shared" si="4"/>
        <v>0</v>
      </c>
      <c r="O31" s="505">
        <f t="shared" si="5"/>
        <v>0</v>
      </c>
      <c r="P31" s="279"/>
      <c r="Q31" s="221"/>
      <c r="R31" s="279"/>
      <c r="S31" s="279"/>
      <c r="T31" s="279"/>
      <c r="U31" s="244"/>
    </row>
    <row r="32" spans="2:21">
      <c r="B32" s="145" t="str">
        <f t="shared" si="0"/>
        <v/>
      </c>
      <c r="C32" s="496">
        <f>IF(D12="","-",+C31+1)</f>
        <v>2029</v>
      </c>
      <c r="D32" s="509">
        <f>IF(F31+SUM(E$17:E31)=D$10,F31,D$10-SUM(E$17:E31))</f>
        <v>1161073.3590790778</v>
      </c>
      <c r="E32" s="510">
        <f>IF(+$I$14&lt;F31,$I$14,D32)</f>
        <v>54841.912058823531</v>
      </c>
      <c r="F32" s="511">
        <f>+D32-E32</f>
        <v>1106231.4470202543</v>
      </c>
      <c r="G32" s="512">
        <f t="shared" si="15"/>
        <v>175481.96847535128</v>
      </c>
      <c r="H32" s="478">
        <f t="shared" si="16"/>
        <v>175481.96847535128</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2030</v>
      </c>
      <c r="D33" s="509">
        <f>IF(F32+SUM(E$17:E32)=D$10,F32,D$10-SUM(E$17:E32))</f>
        <v>1106231.4470202543</v>
      </c>
      <c r="E33" s="510">
        <f>IF(+$I$14&lt;F32,$I$14,D33)</f>
        <v>54841.912058823531</v>
      </c>
      <c r="F33" s="511">
        <f>+D33-E33</f>
        <v>1051389.5349614308</v>
      </c>
      <c r="G33" s="512">
        <f t="shared" si="15"/>
        <v>169645.84856155011</v>
      </c>
      <c r="H33" s="478">
        <f t="shared" si="16"/>
        <v>169645.84856155011</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2031</v>
      </c>
      <c r="D34" s="515">
        <f>IF(F33+SUM(E$17:E33)=D$10,F33,D$10-SUM(E$17:E33))</f>
        <v>1051389.5349614308</v>
      </c>
      <c r="E34" s="516">
        <f t="shared" si="13"/>
        <v>54841.912058823531</v>
      </c>
      <c r="F34" s="517">
        <f t="shared" si="14"/>
        <v>996547.62290260731</v>
      </c>
      <c r="G34" s="518">
        <f t="shared" si="15"/>
        <v>163809.72864774894</v>
      </c>
      <c r="H34" s="519">
        <f t="shared" si="16"/>
        <v>163809.72864774894</v>
      </c>
      <c r="I34" s="520">
        <f t="shared" si="6"/>
        <v>0</v>
      </c>
      <c r="J34" s="520"/>
      <c r="K34" s="521"/>
      <c r="L34" s="522">
        <f t="shared" si="17"/>
        <v>0</v>
      </c>
      <c r="M34" s="521"/>
      <c r="N34" s="522">
        <f t="shared" si="4"/>
        <v>0</v>
      </c>
      <c r="O34" s="522">
        <f t="shared" si="5"/>
        <v>0</v>
      </c>
      <c r="P34" s="523"/>
      <c r="Q34" s="217"/>
      <c r="R34" s="523"/>
      <c r="S34" s="523"/>
      <c r="T34" s="523"/>
      <c r="U34" s="244"/>
    </row>
    <row r="35" spans="2:21">
      <c r="B35" s="145" t="str">
        <f t="shared" si="0"/>
        <v/>
      </c>
      <c r="C35" s="496">
        <f>IF(D11="","-",+C34+1)</f>
        <v>2032</v>
      </c>
      <c r="D35" s="509">
        <f>IF(F34+SUM(E$17:E34)=D$10,F34,D$10-SUM(E$17:E34))</f>
        <v>996547.62290260731</v>
      </c>
      <c r="E35" s="510">
        <f t="shared" si="13"/>
        <v>54841.912058823531</v>
      </c>
      <c r="F35" s="511">
        <f t="shared" si="14"/>
        <v>941705.7108437838</v>
      </c>
      <c r="G35" s="512">
        <f t="shared" si="15"/>
        <v>157973.60873394774</v>
      </c>
      <c r="H35" s="478">
        <f t="shared" si="16"/>
        <v>157973.60873394774</v>
      </c>
      <c r="I35" s="501">
        <f t="shared" si="6"/>
        <v>0</v>
      </c>
      <c r="J35" s="501"/>
      <c r="K35" s="513"/>
      <c r="L35" s="505">
        <f t="shared" si="17"/>
        <v>0</v>
      </c>
      <c r="M35" s="513"/>
      <c r="N35" s="505">
        <f t="shared" si="4"/>
        <v>0</v>
      </c>
      <c r="O35" s="505">
        <f t="shared" si="5"/>
        <v>0</v>
      </c>
      <c r="P35" s="279"/>
      <c r="R35" s="244"/>
      <c r="S35" s="244"/>
      <c r="T35" s="244"/>
      <c r="U35" s="244"/>
    </row>
    <row r="36" spans="2:21">
      <c r="B36" s="145" t="str">
        <f t="shared" si="0"/>
        <v/>
      </c>
      <c r="C36" s="496">
        <f>IF(D11="","-",+C35+1)</f>
        <v>2033</v>
      </c>
      <c r="D36" s="509">
        <f>IF(F35+SUM(E$17:E35)=D$10,F35,D$10-SUM(E$17:E35))</f>
        <v>941705.7108437838</v>
      </c>
      <c r="E36" s="510">
        <f t="shared" si="13"/>
        <v>54841.912058823531</v>
      </c>
      <c r="F36" s="511">
        <f t="shared" si="14"/>
        <v>886863.79878496029</v>
      </c>
      <c r="G36" s="512">
        <f t="shared" si="15"/>
        <v>152137.48882014657</v>
      </c>
      <c r="H36" s="478">
        <f t="shared" si="16"/>
        <v>152137.48882014657</v>
      </c>
      <c r="I36" s="501">
        <f t="shared" si="6"/>
        <v>0</v>
      </c>
      <c r="J36" s="501"/>
      <c r="K36" s="513"/>
      <c r="L36" s="505">
        <f t="shared" si="17"/>
        <v>0</v>
      </c>
      <c r="M36" s="513"/>
      <c r="N36" s="505">
        <f t="shared" si="4"/>
        <v>0</v>
      </c>
      <c r="O36" s="505">
        <f t="shared" si="5"/>
        <v>0</v>
      </c>
      <c r="P36" s="279"/>
      <c r="R36" s="244"/>
      <c r="S36" s="244"/>
      <c r="T36" s="244"/>
      <c r="U36" s="244"/>
    </row>
    <row r="37" spans="2:21">
      <c r="B37" s="145" t="str">
        <f t="shared" si="0"/>
        <v/>
      </c>
      <c r="C37" s="496">
        <f>IF(D11="","-",+C36+1)</f>
        <v>2034</v>
      </c>
      <c r="D37" s="509">
        <f>IF(F36+SUM(E$17:E36)=D$10,F36,D$10-SUM(E$17:E36))</f>
        <v>886863.79878496029</v>
      </c>
      <c r="E37" s="510">
        <f t="shared" si="13"/>
        <v>54841.912058823531</v>
      </c>
      <c r="F37" s="511">
        <f t="shared" si="14"/>
        <v>832021.88672613679</v>
      </c>
      <c r="G37" s="512">
        <f t="shared" si="15"/>
        <v>146301.36890634536</v>
      </c>
      <c r="H37" s="478">
        <f t="shared" si="16"/>
        <v>146301.36890634536</v>
      </c>
      <c r="I37" s="501">
        <f t="shared" si="6"/>
        <v>0</v>
      </c>
      <c r="J37" s="501"/>
      <c r="K37" s="513"/>
      <c r="L37" s="505">
        <f t="shared" si="17"/>
        <v>0</v>
      </c>
      <c r="M37" s="513"/>
      <c r="N37" s="505">
        <f t="shared" si="4"/>
        <v>0</v>
      </c>
      <c r="O37" s="505">
        <f t="shared" si="5"/>
        <v>0</v>
      </c>
      <c r="P37" s="279"/>
      <c r="R37" s="244"/>
      <c r="S37" s="244"/>
      <c r="T37" s="244"/>
      <c r="U37" s="244"/>
    </row>
    <row r="38" spans="2:21">
      <c r="B38" s="145" t="str">
        <f t="shared" si="0"/>
        <v/>
      </c>
      <c r="C38" s="496">
        <f>IF(D11="","-",+C37+1)</f>
        <v>2035</v>
      </c>
      <c r="D38" s="509">
        <f>IF(F37+SUM(E$17:E37)=D$10,F37,D$10-SUM(E$17:E37))</f>
        <v>832021.88672613679</v>
      </c>
      <c r="E38" s="510">
        <f t="shared" si="13"/>
        <v>54841.912058823531</v>
      </c>
      <c r="F38" s="511">
        <f t="shared" si="14"/>
        <v>777179.97466731328</v>
      </c>
      <c r="G38" s="512">
        <f t="shared" si="15"/>
        <v>140465.24899254419</v>
      </c>
      <c r="H38" s="478">
        <f t="shared" si="16"/>
        <v>140465.24899254419</v>
      </c>
      <c r="I38" s="501">
        <f t="shared" si="6"/>
        <v>0</v>
      </c>
      <c r="J38" s="501"/>
      <c r="K38" s="513"/>
      <c r="L38" s="505">
        <f t="shared" si="17"/>
        <v>0</v>
      </c>
      <c r="M38" s="513"/>
      <c r="N38" s="505">
        <f t="shared" si="4"/>
        <v>0</v>
      </c>
      <c r="O38" s="505">
        <f t="shared" si="5"/>
        <v>0</v>
      </c>
      <c r="P38" s="279"/>
      <c r="R38" s="244"/>
      <c r="S38" s="244"/>
      <c r="T38" s="244"/>
      <c r="U38" s="244"/>
    </row>
    <row r="39" spans="2:21">
      <c r="B39" s="145" t="str">
        <f t="shared" si="0"/>
        <v/>
      </c>
      <c r="C39" s="496">
        <f>IF(D11="","-",+C38+1)</f>
        <v>2036</v>
      </c>
      <c r="D39" s="509">
        <f>IF(F38+SUM(E$17:E38)=D$10,F38,D$10-SUM(E$17:E38))</f>
        <v>777179.97466731328</v>
      </c>
      <c r="E39" s="510">
        <f t="shared" si="13"/>
        <v>54841.912058823531</v>
      </c>
      <c r="F39" s="511">
        <f t="shared" si="14"/>
        <v>722338.06260848977</v>
      </c>
      <c r="G39" s="512">
        <f t="shared" si="15"/>
        <v>134629.12907874302</v>
      </c>
      <c r="H39" s="478">
        <f t="shared" si="16"/>
        <v>134629.12907874302</v>
      </c>
      <c r="I39" s="501">
        <f t="shared" si="6"/>
        <v>0</v>
      </c>
      <c r="J39" s="501"/>
      <c r="K39" s="513"/>
      <c r="L39" s="505">
        <f t="shared" si="17"/>
        <v>0</v>
      </c>
      <c r="M39" s="513"/>
      <c r="N39" s="505">
        <f t="shared" si="4"/>
        <v>0</v>
      </c>
      <c r="O39" s="505">
        <f t="shared" si="5"/>
        <v>0</v>
      </c>
      <c r="P39" s="279"/>
      <c r="R39" s="244"/>
      <c r="S39" s="244"/>
      <c r="T39" s="244"/>
      <c r="U39" s="244"/>
    </row>
    <row r="40" spans="2:21">
      <c r="B40" s="145" t="str">
        <f t="shared" si="0"/>
        <v/>
      </c>
      <c r="C40" s="496">
        <f>IF(D11="","-",+C39+1)</f>
        <v>2037</v>
      </c>
      <c r="D40" s="509">
        <f>IF(F39+SUM(E$17:E39)=D$10,F39,D$10-SUM(E$17:E39))</f>
        <v>722338.06260848977</v>
      </c>
      <c r="E40" s="510">
        <f t="shared" si="13"/>
        <v>54841.912058823531</v>
      </c>
      <c r="F40" s="511">
        <f t="shared" si="14"/>
        <v>667496.15054966626</v>
      </c>
      <c r="G40" s="512">
        <f t="shared" si="15"/>
        <v>128793.00916494182</v>
      </c>
      <c r="H40" s="478">
        <f t="shared" si="16"/>
        <v>128793.00916494182</v>
      </c>
      <c r="I40" s="501">
        <f t="shared" si="6"/>
        <v>0</v>
      </c>
      <c r="J40" s="501"/>
      <c r="K40" s="513"/>
      <c r="L40" s="505">
        <f t="shared" si="17"/>
        <v>0</v>
      </c>
      <c r="M40" s="513"/>
      <c r="N40" s="505">
        <f t="shared" si="4"/>
        <v>0</v>
      </c>
      <c r="O40" s="505">
        <f t="shared" si="5"/>
        <v>0</v>
      </c>
      <c r="P40" s="279"/>
      <c r="R40" s="244"/>
      <c r="S40" s="244"/>
      <c r="T40" s="244"/>
      <c r="U40" s="244"/>
    </row>
    <row r="41" spans="2:21">
      <c r="B41" s="145" t="str">
        <f t="shared" si="0"/>
        <v/>
      </c>
      <c r="C41" s="496">
        <f>IF(D12="","-",+C40+1)</f>
        <v>2038</v>
      </c>
      <c r="D41" s="509">
        <f>IF(F40+SUM(E$17:E40)=D$10,F40,D$10-SUM(E$17:E40))</f>
        <v>667496.15054966626</v>
      </c>
      <c r="E41" s="510">
        <f t="shared" si="13"/>
        <v>54841.912058823531</v>
      </c>
      <c r="F41" s="511">
        <f t="shared" si="14"/>
        <v>612654.23849084275</v>
      </c>
      <c r="G41" s="512">
        <f t="shared" si="15"/>
        <v>122956.88925114064</v>
      </c>
      <c r="H41" s="478">
        <f t="shared" si="16"/>
        <v>122956.88925114064</v>
      </c>
      <c r="I41" s="501">
        <f t="shared" si="6"/>
        <v>0</v>
      </c>
      <c r="J41" s="501"/>
      <c r="K41" s="513"/>
      <c r="L41" s="505">
        <f t="shared" si="17"/>
        <v>0</v>
      </c>
      <c r="M41" s="513"/>
      <c r="N41" s="505">
        <f t="shared" si="4"/>
        <v>0</v>
      </c>
      <c r="O41" s="505">
        <f t="shared" si="5"/>
        <v>0</v>
      </c>
      <c r="P41" s="279"/>
      <c r="R41" s="244"/>
      <c r="S41" s="244"/>
      <c r="T41" s="244"/>
      <c r="U41" s="244"/>
    </row>
    <row r="42" spans="2:21">
      <c r="B42" s="145" t="str">
        <f t="shared" si="0"/>
        <v/>
      </c>
      <c r="C42" s="496">
        <f>IF(D13="","-",+C41+1)</f>
        <v>2039</v>
      </c>
      <c r="D42" s="509">
        <f>IF(F41+SUM(E$17:E41)=D$10,F41,D$10-SUM(E$17:E41))</f>
        <v>612654.23849084275</v>
      </c>
      <c r="E42" s="510">
        <f t="shared" si="13"/>
        <v>54841.912058823531</v>
      </c>
      <c r="F42" s="511">
        <f t="shared" si="14"/>
        <v>557812.32643201924</v>
      </c>
      <c r="G42" s="512">
        <f t="shared" si="15"/>
        <v>117120.76933733946</v>
      </c>
      <c r="H42" s="478">
        <f t="shared" si="16"/>
        <v>117120.76933733946</v>
      </c>
      <c r="I42" s="501">
        <f t="shared" si="6"/>
        <v>0</v>
      </c>
      <c r="J42" s="501"/>
      <c r="K42" s="513"/>
      <c r="L42" s="505">
        <f t="shared" si="17"/>
        <v>0</v>
      </c>
      <c r="M42" s="513"/>
      <c r="N42" s="505">
        <f t="shared" si="4"/>
        <v>0</v>
      </c>
      <c r="O42" s="505">
        <f t="shared" si="5"/>
        <v>0</v>
      </c>
      <c r="P42" s="279"/>
      <c r="R42" s="244"/>
      <c r="S42" s="244"/>
      <c r="T42" s="244"/>
      <c r="U42" s="244"/>
    </row>
    <row r="43" spans="2:21">
      <c r="B43" s="145" t="str">
        <f t="shared" si="0"/>
        <v/>
      </c>
      <c r="C43" s="496">
        <f>IF(D14="","-",+C42+1)</f>
        <v>2040</v>
      </c>
      <c r="D43" s="509">
        <f>IF(F42+SUM(E$17:E42)=D$10,F42,D$10-SUM(E$17:E42))</f>
        <v>557812.32643201924</v>
      </c>
      <c r="E43" s="510">
        <f t="shared" si="13"/>
        <v>54841.912058823531</v>
      </c>
      <c r="F43" s="511">
        <f t="shared" si="14"/>
        <v>502970.41437319573</v>
      </c>
      <c r="G43" s="512">
        <f t="shared" si="15"/>
        <v>111284.64942353827</v>
      </c>
      <c r="H43" s="478">
        <f t="shared" si="16"/>
        <v>111284.64942353827</v>
      </c>
      <c r="I43" s="501">
        <f t="shared" si="6"/>
        <v>0</v>
      </c>
      <c r="J43" s="501"/>
      <c r="K43" s="513"/>
      <c r="L43" s="505">
        <f t="shared" si="17"/>
        <v>0</v>
      </c>
      <c r="M43" s="513"/>
      <c r="N43" s="505">
        <f t="shared" si="4"/>
        <v>0</v>
      </c>
      <c r="O43" s="505">
        <f t="shared" si="5"/>
        <v>0</v>
      </c>
      <c r="P43" s="279"/>
      <c r="R43" s="244"/>
      <c r="S43" s="244"/>
      <c r="T43" s="244"/>
      <c r="U43" s="244"/>
    </row>
    <row r="44" spans="2:21">
      <c r="B44" s="145" t="str">
        <f t="shared" si="0"/>
        <v/>
      </c>
      <c r="C44" s="496">
        <f>IF(D15="","-",+C43+1)</f>
        <v>2041</v>
      </c>
      <c r="D44" s="509">
        <f>IF(F43+SUM(E$17:E43)=D$10,F43,D$10-SUM(E$17:E43))</f>
        <v>502970.41437319573</v>
      </c>
      <c r="E44" s="510">
        <f t="shared" si="13"/>
        <v>54841.912058823531</v>
      </c>
      <c r="F44" s="511">
        <f t="shared" si="14"/>
        <v>448128.50231437222</v>
      </c>
      <c r="G44" s="512">
        <f t="shared" si="15"/>
        <v>105448.5295097371</v>
      </c>
      <c r="H44" s="478">
        <f t="shared" si="16"/>
        <v>105448.5295097371</v>
      </c>
      <c r="I44" s="501">
        <f t="shared" si="6"/>
        <v>0</v>
      </c>
      <c r="J44" s="501"/>
      <c r="K44" s="513"/>
      <c r="L44" s="505">
        <f t="shared" si="17"/>
        <v>0</v>
      </c>
      <c r="M44" s="513"/>
      <c r="N44" s="505">
        <f t="shared" si="4"/>
        <v>0</v>
      </c>
      <c r="O44" s="505">
        <f t="shared" si="5"/>
        <v>0</v>
      </c>
      <c r="P44" s="279"/>
      <c r="R44" s="244"/>
      <c r="S44" s="244"/>
      <c r="T44" s="244"/>
      <c r="U44" s="244"/>
    </row>
    <row r="45" spans="2:21">
      <c r="B45" s="145" t="str">
        <f t="shared" si="0"/>
        <v/>
      </c>
      <c r="C45" s="496">
        <f>IF(D11="","-",+C44+1)</f>
        <v>2042</v>
      </c>
      <c r="D45" s="509">
        <f>IF(F44+SUM(E$17:E44)=D$10,F44,D$10-SUM(E$17:E44))</f>
        <v>448128.50231437222</v>
      </c>
      <c r="E45" s="510">
        <f t="shared" si="13"/>
        <v>54841.912058823531</v>
      </c>
      <c r="F45" s="511">
        <f t="shared" si="14"/>
        <v>393286.59025554871</v>
      </c>
      <c r="G45" s="512">
        <f t="shared" si="15"/>
        <v>99612.409595935897</v>
      </c>
      <c r="H45" s="478">
        <f t="shared" si="16"/>
        <v>99612.409595935897</v>
      </c>
      <c r="I45" s="501">
        <f t="shared" si="6"/>
        <v>0</v>
      </c>
      <c r="J45" s="501"/>
      <c r="K45" s="513"/>
      <c r="L45" s="505">
        <f t="shared" si="17"/>
        <v>0</v>
      </c>
      <c r="M45" s="513"/>
      <c r="N45" s="505">
        <f t="shared" si="4"/>
        <v>0</v>
      </c>
      <c r="O45" s="505">
        <f t="shared" si="5"/>
        <v>0</v>
      </c>
      <c r="P45" s="279"/>
      <c r="R45" s="244"/>
      <c r="S45" s="244"/>
      <c r="T45" s="244"/>
      <c r="U45" s="244"/>
    </row>
    <row r="46" spans="2:21">
      <c r="B46" s="145" t="str">
        <f t="shared" si="0"/>
        <v/>
      </c>
      <c r="C46" s="496">
        <f>IF(D11="","-",+C45+1)</f>
        <v>2043</v>
      </c>
      <c r="D46" s="509">
        <f>IF(F45+SUM(E$17:E45)=D$10,F45,D$10-SUM(E$17:E45))</f>
        <v>393286.59025554871</v>
      </c>
      <c r="E46" s="510">
        <f t="shared" si="13"/>
        <v>54841.912058823531</v>
      </c>
      <c r="F46" s="511">
        <f t="shared" si="14"/>
        <v>338444.6781967252</v>
      </c>
      <c r="G46" s="512">
        <f t="shared" si="15"/>
        <v>93776.289682134724</v>
      </c>
      <c r="H46" s="478">
        <f t="shared" si="16"/>
        <v>93776.289682134724</v>
      </c>
      <c r="I46" s="501">
        <f t="shared" si="6"/>
        <v>0</v>
      </c>
      <c r="J46" s="501"/>
      <c r="K46" s="513"/>
      <c r="L46" s="505">
        <f t="shared" si="17"/>
        <v>0</v>
      </c>
      <c r="M46" s="513"/>
      <c r="N46" s="505">
        <f t="shared" si="4"/>
        <v>0</v>
      </c>
      <c r="O46" s="505">
        <f t="shared" si="5"/>
        <v>0</v>
      </c>
      <c r="P46" s="279"/>
      <c r="R46" s="244"/>
      <c r="S46" s="244"/>
      <c r="T46" s="244"/>
      <c r="U46" s="244"/>
    </row>
    <row r="47" spans="2:21">
      <c r="B47" s="145" t="str">
        <f t="shared" si="0"/>
        <v/>
      </c>
      <c r="C47" s="496">
        <f>IF(D11="","-",+C46+1)</f>
        <v>2044</v>
      </c>
      <c r="D47" s="509">
        <f>IF(F46+SUM(E$17:E46)=D$10,F46,D$10-SUM(E$17:E46))</f>
        <v>338444.6781967252</v>
      </c>
      <c r="E47" s="510">
        <f t="shared" si="13"/>
        <v>54841.912058823531</v>
      </c>
      <c r="F47" s="511">
        <f t="shared" si="14"/>
        <v>283602.76613790169</v>
      </c>
      <c r="G47" s="512">
        <f t="shared" si="15"/>
        <v>87940.169768333537</v>
      </c>
      <c r="H47" s="478">
        <f t="shared" si="16"/>
        <v>87940.169768333537</v>
      </c>
      <c r="I47" s="501">
        <f t="shared" si="6"/>
        <v>0</v>
      </c>
      <c r="J47" s="501"/>
      <c r="K47" s="513"/>
      <c r="L47" s="505">
        <f t="shared" si="17"/>
        <v>0</v>
      </c>
      <c r="M47" s="513"/>
      <c r="N47" s="505">
        <f t="shared" si="4"/>
        <v>0</v>
      </c>
      <c r="O47" s="505">
        <f t="shared" si="5"/>
        <v>0</v>
      </c>
      <c r="P47" s="279"/>
      <c r="R47" s="244"/>
      <c r="S47" s="244"/>
      <c r="T47" s="244"/>
      <c r="U47" s="244"/>
    </row>
    <row r="48" spans="2:21">
      <c r="B48" s="145" t="str">
        <f t="shared" si="0"/>
        <v/>
      </c>
      <c r="C48" s="496">
        <f>IF(D11="","-",+C47+1)</f>
        <v>2045</v>
      </c>
      <c r="D48" s="509">
        <f>IF(F47+SUM(E$17:E47)=D$10,F47,D$10-SUM(E$17:E47))</f>
        <v>283602.76613790169</v>
      </c>
      <c r="E48" s="510">
        <f t="shared" si="13"/>
        <v>54841.912058823531</v>
      </c>
      <c r="F48" s="511">
        <f t="shared" si="14"/>
        <v>228760.85407907816</v>
      </c>
      <c r="G48" s="512">
        <f t="shared" si="15"/>
        <v>82104.04985453235</v>
      </c>
      <c r="H48" s="478">
        <f t="shared" si="16"/>
        <v>82104.04985453235</v>
      </c>
      <c r="I48" s="501">
        <f t="shared" si="6"/>
        <v>0</v>
      </c>
      <c r="J48" s="501"/>
      <c r="K48" s="513"/>
      <c r="L48" s="505">
        <f t="shared" si="17"/>
        <v>0</v>
      </c>
      <c r="M48" s="513"/>
      <c r="N48" s="505">
        <f t="shared" si="4"/>
        <v>0</v>
      </c>
      <c r="O48" s="505">
        <f t="shared" si="5"/>
        <v>0</v>
      </c>
      <c r="P48" s="279"/>
      <c r="R48" s="244"/>
      <c r="S48" s="244"/>
      <c r="T48" s="244"/>
      <c r="U48" s="244"/>
    </row>
    <row r="49" spans="2:21">
      <c r="B49" s="145" t="str">
        <f t="shared" si="0"/>
        <v/>
      </c>
      <c r="C49" s="496">
        <f>IF(D11="","-",+C48+1)</f>
        <v>2046</v>
      </c>
      <c r="D49" s="509">
        <f>IF(F48+SUM(E$17:E48)=D$10,F48,D$10-SUM(E$17:E48))</f>
        <v>228760.85407907816</v>
      </c>
      <c r="E49" s="510">
        <f t="shared" si="13"/>
        <v>54841.912058823531</v>
      </c>
      <c r="F49" s="511">
        <f t="shared" si="14"/>
        <v>173918.94202025462</v>
      </c>
      <c r="G49" s="512">
        <f t="shared" si="15"/>
        <v>76267.929940731163</v>
      </c>
      <c r="H49" s="478">
        <f t="shared" si="16"/>
        <v>76267.929940731163</v>
      </c>
      <c r="I49" s="501">
        <f t="shared" si="6"/>
        <v>0</v>
      </c>
      <c r="J49" s="501"/>
      <c r="K49" s="513"/>
      <c r="L49" s="505">
        <f t="shared" si="17"/>
        <v>0</v>
      </c>
      <c r="M49" s="513"/>
      <c r="N49" s="505">
        <f t="shared" si="4"/>
        <v>0</v>
      </c>
      <c r="O49" s="505">
        <f t="shared" si="5"/>
        <v>0</v>
      </c>
      <c r="P49" s="279"/>
      <c r="R49" s="244"/>
      <c r="S49" s="244"/>
      <c r="T49" s="244"/>
      <c r="U49" s="244"/>
    </row>
    <row r="50" spans="2:21">
      <c r="B50" s="145" t="str">
        <f t="shared" si="0"/>
        <v/>
      </c>
      <c r="C50" s="496">
        <f>IF(D11="","-",+C49+1)</f>
        <v>2047</v>
      </c>
      <c r="D50" s="509">
        <f>IF(F49+SUM(E$17:E49)=D$10,F49,D$10-SUM(E$17:E49))</f>
        <v>173918.94202025462</v>
      </c>
      <c r="E50" s="510">
        <f t="shared" si="13"/>
        <v>54841.912058823531</v>
      </c>
      <c r="F50" s="511">
        <f t="shared" si="14"/>
        <v>119077.02996143108</v>
      </c>
      <c r="G50" s="512">
        <f t="shared" si="15"/>
        <v>70431.810026929976</v>
      </c>
      <c r="H50" s="478">
        <f t="shared" si="16"/>
        <v>70431.810026929976</v>
      </c>
      <c r="I50" s="501">
        <f t="shared" si="6"/>
        <v>0</v>
      </c>
      <c r="J50" s="501"/>
      <c r="K50" s="513"/>
      <c r="L50" s="505">
        <f t="shared" si="17"/>
        <v>0</v>
      </c>
      <c r="M50" s="513"/>
      <c r="N50" s="505">
        <f t="shared" si="4"/>
        <v>0</v>
      </c>
      <c r="O50" s="505">
        <f t="shared" si="5"/>
        <v>0</v>
      </c>
      <c r="P50" s="279"/>
      <c r="R50" s="244"/>
      <c r="S50" s="244"/>
      <c r="T50" s="244"/>
      <c r="U50" s="244"/>
    </row>
    <row r="51" spans="2:21">
      <c r="B51" s="145" t="str">
        <f t="shared" si="0"/>
        <v/>
      </c>
      <c r="C51" s="496">
        <f>IF(D11="","-",+C50+1)</f>
        <v>2048</v>
      </c>
      <c r="D51" s="509">
        <f>IF(F50+SUM(E$17:E50)=D$10,F50,D$10-SUM(E$17:E50))</f>
        <v>119077.02996143108</v>
      </c>
      <c r="E51" s="510">
        <f t="shared" si="13"/>
        <v>54841.912058823531</v>
      </c>
      <c r="F51" s="511">
        <f t="shared" si="14"/>
        <v>64235.117902607548</v>
      </c>
      <c r="G51" s="512">
        <f t="shared" si="15"/>
        <v>64595.690113128789</v>
      </c>
      <c r="H51" s="478">
        <f t="shared" si="16"/>
        <v>64595.690113128789</v>
      </c>
      <c r="I51" s="501">
        <f t="shared" si="6"/>
        <v>0</v>
      </c>
      <c r="J51" s="501"/>
      <c r="K51" s="513"/>
      <c r="L51" s="505">
        <f t="shared" si="17"/>
        <v>0</v>
      </c>
      <c r="M51" s="513"/>
      <c r="N51" s="505">
        <f t="shared" si="4"/>
        <v>0</v>
      </c>
      <c r="O51" s="505">
        <f t="shared" si="5"/>
        <v>0</v>
      </c>
      <c r="P51" s="279"/>
      <c r="R51" s="244"/>
      <c r="S51" s="244"/>
      <c r="T51" s="244"/>
      <c r="U51" s="244"/>
    </row>
    <row r="52" spans="2:21">
      <c r="B52" s="145" t="str">
        <f t="shared" si="0"/>
        <v/>
      </c>
      <c r="C52" s="496">
        <f>IF(D11="","-",+C51+1)</f>
        <v>2049</v>
      </c>
      <c r="D52" s="509">
        <f>IF(F51+SUM(E$17:E51)=D$10,F51,D$10-SUM(E$17:E51))</f>
        <v>64235.117902607548</v>
      </c>
      <c r="E52" s="510">
        <f t="shared" si="13"/>
        <v>54841.912058823531</v>
      </c>
      <c r="F52" s="511">
        <f t="shared" si="14"/>
        <v>9393.2058437840169</v>
      </c>
      <c r="G52" s="512">
        <f t="shared" si="15"/>
        <v>58759.570199327602</v>
      </c>
      <c r="H52" s="478">
        <f t="shared" si="16"/>
        <v>58759.570199327602</v>
      </c>
      <c r="I52" s="501">
        <f t="shared" si="6"/>
        <v>0</v>
      </c>
      <c r="J52" s="501"/>
      <c r="K52" s="513"/>
      <c r="L52" s="505">
        <f t="shared" si="17"/>
        <v>0</v>
      </c>
      <c r="M52" s="513"/>
      <c r="N52" s="505">
        <f t="shared" si="4"/>
        <v>0</v>
      </c>
      <c r="O52" s="505">
        <f t="shared" si="5"/>
        <v>0</v>
      </c>
      <c r="P52" s="279"/>
      <c r="R52" s="244"/>
      <c r="S52" s="244"/>
      <c r="T52" s="244"/>
      <c r="U52" s="244"/>
    </row>
    <row r="53" spans="2:21">
      <c r="B53" s="145" t="str">
        <f t="shared" si="0"/>
        <v/>
      </c>
      <c r="C53" s="496">
        <f>IF(D11="","-",+C52+1)</f>
        <v>2050</v>
      </c>
      <c r="D53" s="509">
        <f>IF(F52+SUM(E$17:E52)=D$10,F52,D$10-SUM(E$17:E52))</f>
        <v>9393.2058437840169</v>
      </c>
      <c r="E53" s="510">
        <f t="shared" si="13"/>
        <v>9393.2058437840169</v>
      </c>
      <c r="F53" s="511">
        <f t="shared" si="14"/>
        <v>0</v>
      </c>
      <c r="G53" s="512">
        <f t="shared" si="15"/>
        <v>9893.0049355857554</v>
      </c>
      <c r="H53" s="478">
        <f t="shared" si="16"/>
        <v>9893.0049355857554</v>
      </c>
      <c r="I53" s="501">
        <f t="shared" si="6"/>
        <v>0</v>
      </c>
      <c r="J53" s="501"/>
      <c r="K53" s="513"/>
      <c r="L53" s="505">
        <f t="shared" si="17"/>
        <v>0</v>
      </c>
      <c r="M53" s="513"/>
      <c r="N53" s="505">
        <f t="shared" si="4"/>
        <v>0</v>
      </c>
      <c r="O53" s="505">
        <f t="shared" si="5"/>
        <v>0</v>
      </c>
      <c r="P53" s="279"/>
      <c r="R53" s="244"/>
      <c r="S53" s="244"/>
      <c r="T53" s="244"/>
      <c r="U53" s="244"/>
    </row>
    <row r="54" spans="2:21">
      <c r="B54" s="145" t="str">
        <f t="shared" si="0"/>
        <v/>
      </c>
      <c r="C54" s="496">
        <f>IF(D11="","-",+C53+1)</f>
        <v>2051</v>
      </c>
      <c r="D54" s="509">
        <f>IF(F53+SUM(E$17:E53)=D$10,F53,D$10-SUM(E$17:E53))</f>
        <v>0</v>
      </c>
      <c r="E54" s="510">
        <f t="shared" si="13"/>
        <v>0</v>
      </c>
      <c r="F54" s="511">
        <f t="shared" si="14"/>
        <v>0</v>
      </c>
      <c r="G54" s="512">
        <f t="shared" si="15"/>
        <v>0</v>
      </c>
      <c r="H54" s="478">
        <f t="shared" si="16"/>
        <v>0</v>
      </c>
      <c r="I54" s="501">
        <f t="shared" si="6"/>
        <v>0</v>
      </c>
      <c r="J54" s="501"/>
      <c r="K54" s="513"/>
      <c r="L54" s="505">
        <f t="shared" si="17"/>
        <v>0</v>
      </c>
      <c r="M54" s="513"/>
      <c r="N54" s="505">
        <f t="shared" si="4"/>
        <v>0</v>
      </c>
      <c r="O54" s="505">
        <f t="shared" si="5"/>
        <v>0</v>
      </c>
      <c r="P54" s="279"/>
      <c r="R54" s="244"/>
      <c r="S54" s="244"/>
      <c r="T54" s="244"/>
      <c r="U54" s="244"/>
    </row>
    <row r="55" spans="2:21">
      <c r="B55" s="145" t="str">
        <f t="shared" si="0"/>
        <v/>
      </c>
      <c r="C55" s="496">
        <f>IF(D11="","-",+C54+1)</f>
        <v>2052</v>
      </c>
      <c r="D55" s="509">
        <f>IF(F54+SUM(E$17:E54)=D$10,F54,D$10-SUM(E$17:E54))</f>
        <v>0</v>
      </c>
      <c r="E55" s="510">
        <f t="shared" si="13"/>
        <v>0</v>
      </c>
      <c r="F55" s="511">
        <f t="shared" si="14"/>
        <v>0</v>
      </c>
      <c r="G55" s="512">
        <f t="shared" si="15"/>
        <v>0</v>
      </c>
      <c r="H55" s="478">
        <f t="shared" si="16"/>
        <v>0</v>
      </c>
      <c r="I55" s="501">
        <f t="shared" si="6"/>
        <v>0</v>
      </c>
      <c r="J55" s="501"/>
      <c r="K55" s="513"/>
      <c r="L55" s="505">
        <f t="shared" si="17"/>
        <v>0</v>
      </c>
      <c r="M55" s="513"/>
      <c r="N55" s="505">
        <f t="shared" si="4"/>
        <v>0</v>
      </c>
      <c r="O55" s="505">
        <f t="shared" si="5"/>
        <v>0</v>
      </c>
      <c r="P55" s="279"/>
      <c r="R55" s="244"/>
      <c r="S55" s="244"/>
      <c r="T55" s="244"/>
      <c r="U55" s="244"/>
    </row>
    <row r="56" spans="2:21">
      <c r="B56" s="145" t="str">
        <f t="shared" si="0"/>
        <v/>
      </c>
      <c r="C56" s="496">
        <f>IF(D11="","-",+C55+1)</f>
        <v>2053</v>
      </c>
      <c r="D56" s="509">
        <f>IF(F55+SUM(E$17:E55)=D$10,F55,D$10-SUM(E$17:E55))</f>
        <v>0</v>
      </c>
      <c r="E56" s="510">
        <f t="shared" si="13"/>
        <v>0</v>
      </c>
      <c r="F56" s="511">
        <f t="shared" si="14"/>
        <v>0</v>
      </c>
      <c r="G56" s="512">
        <f t="shared" si="15"/>
        <v>0</v>
      </c>
      <c r="H56" s="478">
        <f t="shared" si="16"/>
        <v>0</v>
      </c>
      <c r="I56" s="501">
        <f t="shared" si="6"/>
        <v>0</v>
      </c>
      <c r="J56" s="501"/>
      <c r="K56" s="513"/>
      <c r="L56" s="505">
        <f t="shared" si="17"/>
        <v>0</v>
      </c>
      <c r="M56" s="513"/>
      <c r="N56" s="505">
        <f t="shared" si="4"/>
        <v>0</v>
      </c>
      <c r="O56" s="505">
        <f t="shared" si="5"/>
        <v>0</v>
      </c>
      <c r="P56" s="279"/>
      <c r="R56" s="244"/>
      <c r="S56" s="244"/>
      <c r="T56" s="244"/>
      <c r="U56" s="244"/>
    </row>
    <row r="57" spans="2:21">
      <c r="B57" s="145" t="str">
        <f t="shared" si="0"/>
        <v/>
      </c>
      <c r="C57" s="496">
        <f>IF(D11="","-",+C56+1)</f>
        <v>2054</v>
      </c>
      <c r="D57" s="509">
        <f>IF(F56+SUM(E$17:E56)=D$10,F56,D$10-SUM(E$17:E56))</f>
        <v>0</v>
      </c>
      <c r="E57" s="510">
        <f t="shared" si="13"/>
        <v>0</v>
      </c>
      <c r="F57" s="511">
        <f t="shared" si="14"/>
        <v>0</v>
      </c>
      <c r="G57" s="512">
        <f t="shared" si="15"/>
        <v>0</v>
      </c>
      <c r="H57" s="478">
        <f t="shared" si="16"/>
        <v>0</v>
      </c>
      <c r="I57" s="501">
        <f t="shared" si="6"/>
        <v>0</v>
      </c>
      <c r="J57" s="501"/>
      <c r="K57" s="513"/>
      <c r="L57" s="505">
        <f t="shared" si="17"/>
        <v>0</v>
      </c>
      <c r="M57" s="513"/>
      <c r="N57" s="505">
        <f t="shared" si="4"/>
        <v>0</v>
      </c>
      <c r="O57" s="505">
        <f t="shared" si="5"/>
        <v>0</v>
      </c>
      <c r="P57" s="279"/>
      <c r="R57" s="244"/>
      <c r="S57" s="244"/>
      <c r="T57" s="244"/>
      <c r="U57" s="244"/>
    </row>
    <row r="58" spans="2:21">
      <c r="B58" s="145" t="str">
        <f t="shared" si="0"/>
        <v/>
      </c>
      <c r="C58" s="496">
        <f>IF(D11="","-",+C57+1)</f>
        <v>2055</v>
      </c>
      <c r="D58" s="509">
        <f>IF(F57+SUM(E$17:E57)=D$10,F57,D$10-SUM(E$17:E57))</f>
        <v>0</v>
      </c>
      <c r="E58" s="510">
        <f t="shared" si="13"/>
        <v>0</v>
      </c>
      <c r="F58" s="511">
        <f t="shared" si="14"/>
        <v>0</v>
      </c>
      <c r="G58" s="512">
        <f t="shared" si="15"/>
        <v>0</v>
      </c>
      <c r="H58" s="478">
        <f t="shared" si="16"/>
        <v>0</v>
      </c>
      <c r="I58" s="501">
        <f t="shared" si="6"/>
        <v>0</v>
      </c>
      <c r="J58" s="501"/>
      <c r="K58" s="513"/>
      <c r="L58" s="505">
        <f t="shared" si="17"/>
        <v>0</v>
      </c>
      <c r="M58" s="513"/>
      <c r="N58" s="505">
        <f t="shared" si="4"/>
        <v>0</v>
      </c>
      <c r="O58" s="505">
        <f t="shared" si="5"/>
        <v>0</v>
      </c>
      <c r="P58" s="279"/>
      <c r="R58" s="244"/>
      <c r="S58" s="244"/>
      <c r="T58" s="244"/>
      <c r="U58" s="244"/>
    </row>
    <row r="59" spans="2:21">
      <c r="B59" s="145" t="str">
        <f t="shared" si="0"/>
        <v/>
      </c>
      <c r="C59" s="496">
        <f>IF(D11="","-",+C58+1)</f>
        <v>2056</v>
      </c>
      <c r="D59" s="509">
        <f>IF(F58+SUM(E$17:E58)=D$10,F58,D$10-SUM(E$17:E58))</f>
        <v>0</v>
      </c>
      <c r="E59" s="510">
        <f t="shared" si="13"/>
        <v>0</v>
      </c>
      <c r="F59" s="511">
        <f t="shared" si="14"/>
        <v>0</v>
      </c>
      <c r="G59" s="512">
        <f t="shared" si="15"/>
        <v>0</v>
      </c>
      <c r="H59" s="478">
        <f t="shared" si="16"/>
        <v>0</v>
      </c>
      <c r="I59" s="501">
        <f t="shared" si="6"/>
        <v>0</v>
      </c>
      <c r="J59" s="501"/>
      <c r="K59" s="513"/>
      <c r="L59" s="505">
        <f t="shared" si="17"/>
        <v>0</v>
      </c>
      <c r="M59" s="513"/>
      <c r="N59" s="505">
        <f t="shared" si="4"/>
        <v>0</v>
      </c>
      <c r="O59" s="505">
        <f t="shared" si="5"/>
        <v>0</v>
      </c>
      <c r="P59" s="279"/>
      <c r="R59" s="244"/>
      <c r="S59" s="244"/>
      <c r="T59" s="244"/>
      <c r="U59" s="244"/>
    </row>
    <row r="60" spans="2:21">
      <c r="B60" s="145" t="str">
        <f t="shared" si="0"/>
        <v/>
      </c>
      <c r="C60" s="496">
        <f>IF(D11="","-",+C59+1)</f>
        <v>2057</v>
      </c>
      <c r="D60" s="509">
        <f>IF(F59+SUM(E$17:E59)=D$10,F59,D$10-SUM(E$17:E59))</f>
        <v>0</v>
      </c>
      <c r="E60" s="510">
        <f t="shared" si="13"/>
        <v>0</v>
      </c>
      <c r="F60" s="511">
        <f t="shared" si="14"/>
        <v>0</v>
      </c>
      <c r="G60" s="512">
        <f t="shared" si="15"/>
        <v>0</v>
      </c>
      <c r="H60" s="478">
        <f t="shared" si="16"/>
        <v>0</v>
      </c>
      <c r="I60" s="501">
        <f t="shared" si="6"/>
        <v>0</v>
      </c>
      <c r="J60" s="501"/>
      <c r="K60" s="513"/>
      <c r="L60" s="505">
        <f t="shared" si="17"/>
        <v>0</v>
      </c>
      <c r="M60" s="513"/>
      <c r="N60" s="505">
        <f t="shared" si="4"/>
        <v>0</v>
      </c>
      <c r="O60" s="505">
        <f t="shared" si="5"/>
        <v>0</v>
      </c>
      <c r="P60" s="279"/>
      <c r="R60" s="244"/>
      <c r="S60" s="244"/>
      <c r="T60" s="244"/>
      <c r="U60" s="244"/>
    </row>
    <row r="61" spans="2:21">
      <c r="B61" s="145" t="str">
        <f t="shared" si="0"/>
        <v/>
      </c>
      <c r="C61" s="496">
        <f>IF(D11="","-",+C60+1)</f>
        <v>2058</v>
      </c>
      <c r="D61" s="509">
        <f>IF(F60+SUM(E$17:E60)=D$10,F60,D$10-SUM(E$17:E60))</f>
        <v>0</v>
      </c>
      <c r="E61" s="510">
        <f t="shared" si="13"/>
        <v>0</v>
      </c>
      <c r="F61" s="511">
        <f t="shared" si="14"/>
        <v>0</v>
      </c>
      <c r="G61" s="512">
        <f t="shared" si="15"/>
        <v>0</v>
      </c>
      <c r="H61" s="478">
        <f t="shared" si="16"/>
        <v>0</v>
      </c>
      <c r="I61" s="501">
        <f t="shared" si="6"/>
        <v>0</v>
      </c>
      <c r="J61" s="501"/>
      <c r="K61" s="513"/>
      <c r="L61" s="505">
        <f t="shared" si="17"/>
        <v>0</v>
      </c>
      <c r="M61" s="513"/>
      <c r="N61" s="505">
        <f t="shared" si="4"/>
        <v>0</v>
      </c>
      <c r="O61" s="505">
        <f t="shared" si="5"/>
        <v>0</v>
      </c>
      <c r="P61" s="279"/>
      <c r="R61" s="244"/>
      <c r="S61" s="244"/>
      <c r="T61" s="244"/>
      <c r="U61" s="244"/>
    </row>
    <row r="62" spans="2:21">
      <c r="B62" s="145" t="str">
        <f t="shared" si="0"/>
        <v/>
      </c>
      <c r="C62" s="496">
        <f>IF(D11="","-",+C61+1)</f>
        <v>2059</v>
      </c>
      <c r="D62" s="509">
        <f>IF(F61+SUM(E$17:E61)=D$10,F61,D$10-SUM(E$17:E61))</f>
        <v>0</v>
      </c>
      <c r="E62" s="510">
        <f t="shared" si="13"/>
        <v>0</v>
      </c>
      <c r="F62" s="511">
        <f t="shared" si="14"/>
        <v>0</v>
      </c>
      <c r="G62" s="512">
        <f t="shared" si="15"/>
        <v>0</v>
      </c>
      <c r="H62" s="478">
        <f t="shared" si="16"/>
        <v>0</v>
      </c>
      <c r="I62" s="501">
        <f t="shared" si="6"/>
        <v>0</v>
      </c>
      <c r="J62" s="501"/>
      <c r="K62" s="513"/>
      <c r="L62" s="505">
        <f t="shared" si="17"/>
        <v>0</v>
      </c>
      <c r="M62" s="513"/>
      <c r="N62" s="505">
        <f t="shared" si="4"/>
        <v>0</v>
      </c>
      <c r="O62" s="505">
        <f t="shared" si="5"/>
        <v>0</v>
      </c>
      <c r="P62" s="279"/>
      <c r="R62" s="244"/>
      <c r="S62" s="244"/>
      <c r="T62" s="244"/>
      <c r="U62" s="244"/>
    </row>
    <row r="63" spans="2:21">
      <c r="B63" s="145" t="str">
        <f t="shared" si="0"/>
        <v/>
      </c>
      <c r="C63" s="496">
        <f>IF(D11="","-",+C62+1)</f>
        <v>2060</v>
      </c>
      <c r="D63" s="509">
        <f>IF(F62+SUM(E$17:E62)=D$10,F62,D$10-SUM(E$17:E62))</f>
        <v>0</v>
      </c>
      <c r="E63" s="510">
        <f t="shared" si="13"/>
        <v>0</v>
      </c>
      <c r="F63" s="511">
        <f t="shared" si="14"/>
        <v>0</v>
      </c>
      <c r="G63" s="512">
        <f t="shared" si="15"/>
        <v>0</v>
      </c>
      <c r="H63" s="478">
        <f t="shared" si="16"/>
        <v>0</v>
      </c>
      <c r="I63" s="501">
        <f t="shared" si="6"/>
        <v>0</v>
      </c>
      <c r="J63" s="501"/>
      <c r="K63" s="513"/>
      <c r="L63" s="505">
        <f t="shared" si="17"/>
        <v>0</v>
      </c>
      <c r="M63" s="513"/>
      <c r="N63" s="505">
        <f t="shared" si="4"/>
        <v>0</v>
      </c>
      <c r="O63" s="505">
        <f t="shared" si="5"/>
        <v>0</v>
      </c>
      <c r="P63" s="279"/>
      <c r="R63" s="244"/>
      <c r="S63" s="244"/>
      <c r="T63" s="244"/>
      <c r="U63" s="244"/>
    </row>
    <row r="64" spans="2:21">
      <c r="B64" s="145" t="str">
        <f t="shared" si="0"/>
        <v/>
      </c>
      <c r="C64" s="496">
        <f>IF(D11="","-",+C63+1)</f>
        <v>2061</v>
      </c>
      <c r="D64" s="509">
        <f>IF(F63+SUM(E$17:E63)=D$10,F63,D$10-SUM(E$17:E63))</f>
        <v>0</v>
      </c>
      <c r="E64" s="510">
        <f t="shared" si="13"/>
        <v>0</v>
      </c>
      <c r="F64" s="511">
        <f t="shared" si="14"/>
        <v>0</v>
      </c>
      <c r="G64" s="512">
        <f t="shared" si="15"/>
        <v>0</v>
      </c>
      <c r="H64" s="478">
        <f t="shared" si="16"/>
        <v>0</v>
      </c>
      <c r="I64" s="501">
        <f t="shared" si="6"/>
        <v>0</v>
      </c>
      <c r="J64" s="501"/>
      <c r="K64" s="513"/>
      <c r="L64" s="505">
        <f t="shared" si="17"/>
        <v>0</v>
      </c>
      <c r="M64" s="513"/>
      <c r="N64" s="505">
        <f t="shared" si="4"/>
        <v>0</v>
      </c>
      <c r="O64" s="505">
        <f t="shared" si="5"/>
        <v>0</v>
      </c>
      <c r="P64" s="279"/>
      <c r="R64" s="244"/>
      <c r="S64" s="244"/>
      <c r="T64" s="244"/>
      <c r="U64" s="244"/>
    </row>
    <row r="65" spans="2:21">
      <c r="B65" s="145" t="str">
        <f t="shared" si="0"/>
        <v/>
      </c>
      <c r="C65" s="496">
        <f>IF(D11="","-",+C64+1)</f>
        <v>2062</v>
      </c>
      <c r="D65" s="509">
        <f>IF(F64+SUM(E$17:E64)=D$10,F64,D$10-SUM(E$17:E64))</f>
        <v>0</v>
      </c>
      <c r="E65" s="510">
        <f t="shared" si="13"/>
        <v>0</v>
      </c>
      <c r="F65" s="511">
        <f t="shared" si="14"/>
        <v>0</v>
      </c>
      <c r="G65" s="512">
        <f t="shared" si="15"/>
        <v>0</v>
      </c>
      <c r="H65" s="478">
        <f t="shared" si="16"/>
        <v>0</v>
      </c>
      <c r="I65" s="501">
        <f t="shared" si="6"/>
        <v>0</v>
      </c>
      <c r="J65" s="501"/>
      <c r="K65" s="513"/>
      <c r="L65" s="505">
        <f t="shared" si="17"/>
        <v>0</v>
      </c>
      <c r="M65" s="513"/>
      <c r="N65" s="505">
        <f t="shared" si="4"/>
        <v>0</v>
      </c>
      <c r="O65" s="505">
        <f t="shared" si="5"/>
        <v>0</v>
      </c>
      <c r="P65" s="279"/>
      <c r="R65" s="244"/>
      <c r="S65" s="244"/>
      <c r="T65" s="244"/>
      <c r="U65" s="244"/>
    </row>
    <row r="66" spans="2:21">
      <c r="B66" s="145" t="str">
        <f t="shared" si="0"/>
        <v/>
      </c>
      <c r="C66" s="496">
        <f>IF(D11="","-",+C65+1)</f>
        <v>2063</v>
      </c>
      <c r="D66" s="509">
        <f>IF(F65+SUM(E$17:E65)=D$10,F65,D$10-SUM(E$17:E65))</f>
        <v>0</v>
      </c>
      <c r="E66" s="510">
        <f t="shared" si="13"/>
        <v>0</v>
      </c>
      <c r="F66" s="511">
        <f t="shared" si="14"/>
        <v>0</v>
      </c>
      <c r="G66" s="512">
        <f t="shared" si="15"/>
        <v>0</v>
      </c>
      <c r="H66" s="478">
        <f t="shared" si="16"/>
        <v>0</v>
      </c>
      <c r="I66" s="501">
        <f t="shared" si="6"/>
        <v>0</v>
      </c>
      <c r="J66" s="501"/>
      <c r="K66" s="513"/>
      <c r="L66" s="505">
        <f t="shared" si="17"/>
        <v>0</v>
      </c>
      <c r="M66" s="513"/>
      <c r="N66" s="505">
        <f t="shared" si="4"/>
        <v>0</v>
      </c>
      <c r="O66" s="505">
        <f t="shared" si="5"/>
        <v>0</v>
      </c>
      <c r="P66" s="279"/>
      <c r="R66" s="244"/>
      <c r="S66" s="244"/>
      <c r="T66" s="244"/>
      <c r="U66" s="244"/>
    </row>
    <row r="67" spans="2:21">
      <c r="B67" s="145" t="str">
        <f t="shared" si="0"/>
        <v/>
      </c>
      <c r="C67" s="496">
        <f>IF(D11="","-",+C66+1)</f>
        <v>2064</v>
      </c>
      <c r="D67" s="509">
        <f>IF(F66+SUM(E$17:E66)=D$10,F66,D$10-SUM(E$17:E66))</f>
        <v>0</v>
      </c>
      <c r="E67" s="510">
        <f t="shared" si="13"/>
        <v>0</v>
      </c>
      <c r="F67" s="511">
        <f t="shared" si="14"/>
        <v>0</v>
      </c>
      <c r="G67" s="512">
        <f t="shared" si="15"/>
        <v>0</v>
      </c>
      <c r="H67" s="478">
        <f t="shared" si="16"/>
        <v>0</v>
      </c>
      <c r="I67" s="501">
        <f t="shared" si="6"/>
        <v>0</v>
      </c>
      <c r="J67" s="501"/>
      <c r="K67" s="513"/>
      <c r="L67" s="505">
        <f t="shared" si="17"/>
        <v>0</v>
      </c>
      <c r="M67" s="513"/>
      <c r="N67" s="505">
        <f t="shared" si="4"/>
        <v>0</v>
      </c>
      <c r="O67" s="505">
        <f t="shared" si="5"/>
        <v>0</v>
      </c>
      <c r="P67" s="279"/>
      <c r="R67" s="244"/>
      <c r="S67" s="244"/>
      <c r="T67" s="244"/>
      <c r="U67" s="244"/>
    </row>
    <row r="68" spans="2:21">
      <c r="B68" s="145" t="str">
        <f t="shared" si="0"/>
        <v/>
      </c>
      <c r="C68" s="496">
        <f>IF(D11="","-",+C67+1)</f>
        <v>2065</v>
      </c>
      <c r="D68" s="509">
        <f>IF(F67+SUM(E$17:E67)=D$10,F67,D$10-SUM(E$17:E67))</f>
        <v>0</v>
      </c>
      <c r="E68" s="510">
        <f t="shared" si="13"/>
        <v>0</v>
      </c>
      <c r="F68" s="511">
        <f t="shared" si="14"/>
        <v>0</v>
      </c>
      <c r="G68" s="512">
        <f t="shared" si="15"/>
        <v>0</v>
      </c>
      <c r="H68" s="478">
        <f t="shared" si="16"/>
        <v>0</v>
      </c>
      <c r="I68" s="501">
        <f t="shared" si="6"/>
        <v>0</v>
      </c>
      <c r="J68" s="501"/>
      <c r="K68" s="513"/>
      <c r="L68" s="505">
        <f t="shared" si="17"/>
        <v>0</v>
      </c>
      <c r="M68" s="513"/>
      <c r="N68" s="505">
        <f t="shared" si="4"/>
        <v>0</v>
      </c>
      <c r="O68" s="505">
        <f t="shared" si="5"/>
        <v>0</v>
      </c>
      <c r="P68" s="279"/>
      <c r="R68" s="244"/>
      <c r="S68" s="244"/>
      <c r="T68" s="244"/>
      <c r="U68" s="244"/>
    </row>
    <row r="69" spans="2:21">
      <c r="B69" s="145" t="str">
        <f t="shared" si="0"/>
        <v/>
      </c>
      <c r="C69" s="496">
        <f>IF(D11="","-",+C68+1)</f>
        <v>2066</v>
      </c>
      <c r="D69" s="509">
        <f>IF(F68+SUM(E$17:E68)=D$10,F68,D$10-SUM(E$17:E68))</f>
        <v>0</v>
      </c>
      <c r="E69" s="510">
        <f t="shared" si="13"/>
        <v>0</v>
      </c>
      <c r="F69" s="511">
        <f t="shared" si="14"/>
        <v>0</v>
      </c>
      <c r="G69" s="512">
        <f t="shared" si="15"/>
        <v>0</v>
      </c>
      <c r="H69" s="478">
        <f t="shared" si="16"/>
        <v>0</v>
      </c>
      <c r="I69" s="501">
        <f t="shared" si="6"/>
        <v>0</v>
      </c>
      <c r="J69" s="501"/>
      <c r="K69" s="513"/>
      <c r="L69" s="505">
        <f t="shared" si="17"/>
        <v>0</v>
      </c>
      <c r="M69" s="513"/>
      <c r="N69" s="505">
        <f t="shared" si="4"/>
        <v>0</v>
      </c>
      <c r="O69" s="505">
        <f t="shared" si="5"/>
        <v>0</v>
      </c>
      <c r="P69" s="279"/>
      <c r="R69" s="244"/>
      <c r="S69" s="244"/>
      <c r="T69" s="244"/>
      <c r="U69" s="244"/>
    </row>
    <row r="70" spans="2:21">
      <c r="B70" s="145" t="str">
        <f t="shared" si="0"/>
        <v/>
      </c>
      <c r="C70" s="496">
        <f>IF(D11="","-",+C69+1)</f>
        <v>2067</v>
      </c>
      <c r="D70" s="509">
        <f>IF(F69+SUM(E$17:E69)=D$10,F69,D$10-SUM(E$17:E69))</f>
        <v>0</v>
      </c>
      <c r="E70" s="510">
        <f t="shared" si="13"/>
        <v>0</v>
      </c>
      <c r="F70" s="511">
        <f t="shared" si="14"/>
        <v>0</v>
      </c>
      <c r="G70" s="512">
        <f t="shared" si="15"/>
        <v>0</v>
      </c>
      <c r="H70" s="478">
        <f t="shared" si="16"/>
        <v>0</v>
      </c>
      <c r="I70" s="501">
        <f t="shared" si="6"/>
        <v>0</v>
      </c>
      <c r="J70" s="501"/>
      <c r="K70" s="513"/>
      <c r="L70" s="505">
        <f t="shared" si="17"/>
        <v>0</v>
      </c>
      <c r="M70" s="513"/>
      <c r="N70" s="505">
        <f t="shared" si="4"/>
        <v>0</v>
      </c>
      <c r="O70" s="505">
        <f t="shared" si="5"/>
        <v>0</v>
      </c>
      <c r="P70" s="279"/>
      <c r="R70" s="244"/>
      <c r="S70" s="244"/>
      <c r="T70" s="244"/>
      <c r="U70" s="244"/>
    </row>
    <row r="71" spans="2:21">
      <c r="B71" s="145" t="str">
        <f t="shared" si="0"/>
        <v/>
      </c>
      <c r="C71" s="496">
        <f>IF(D11="","-",+C70+1)</f>
        <v>2068</v>
      </c>
      <c r="D71" s="509">
        <f>IF(F70+SUM(E$17:E70)=D$10,F70,D$10-SUM(E$17:E70))</f>
        <v>0</v>
      </c>
      <c r="E71" s="510">
        <f t="shared" si="13"/>
        <v>0</v>
      </c>
      <c r="F71" s="511">
        <f t="shared" si="14"/>
        <v>0</v>
      </c>
      <c r="G71" s="512">
        <f t="shared" si="15"/>
        <v>0</v>
      </c>
      <c r="H71" s="478">
        <f t="shared" si="16"/>
        <v>0</v>
      </c>
      <c r="I71" s="501">
        <f t="shared" si="6"/>
        <v>0</v>
      </c>
      <c r="J71" s="501"/>
      <c r="K71" s="513"/>
      <c r="L71" s="505">
        <f t="shared" si="17"/>
        <v>0</v>
      </c>
      <c r="M71" s="513"/>
      <c r="N71" s="505">
        <f t="shared" si="4"/>
        <v>0</v>
      </c>
      <c r="O71" s="505">
        <f t="shared" si="5"/>
        <v>0</v>
      </c>
      <c r="P71" s="279"/>
      <c r="R71" s="244"/>
      <c r="S71" s="244"/>
      <c r="T71" s="244"/>
      <c r="U71" s="244"/>
    </row>
    <row r="72" spans="2:21">
      <c r="B72" s="145" t="str">
        <f t="shared" si="0"/>
        <v/>
      </c>
      <c r="C72" s="496">
        <f>IF(D11="","-",+C71+1)</f>
        <v>2069</v>
      </c>
      <c r="D72" s="509">
        <f>IF(F71+SUM(E$17:E71)=D$10,F71,D$10-SUM(E$17:E71))</f>
        <v>0</v>
      </c>
      <c r="E72" s="510">
        <f t="shared" si="13"/>
        <v>0</v>
      </c>
      <c r="F72" s="511">
        <f t="shared" si="14"/>
        <v>0</v>
      </c>
      <c r="G72" s="512">
        <f t="shared" si="15"/>
        <v>0</v>
      </c>
      <c r="H72" s="478">
        <f t="shared" si="16"/>
        <v>0</v>
      </c>
      <c r="I72" s="501">
        <f t="shared" si="6"/>
        <v>0</v>
      </c>
      <c r="J72" s="501"/>
      <c r="K72" s="513"/>
      <c r="L72" s="505">
        <f t="shared" si="17"/>
        <v>0</v>
      </c>
      <c r="M72" s="513"/>
      <c r="N72" s="505">
        <f t="shared" si="4"/>
        <v>0</v>
      </c>
      <c r="O72" s="505">
        <f t="shared" si="5"/>
        <v>0</v>
      </c>
      <c r="P72" s="279"/>
      <c r="R72" s="244"/>
      <c r="S72" s="244"/>
      <c r="T72" s="244"/>
      <c r="U72" s="244"/>
    </row>
    <row r="73" spans="2:21" ht="13.5" thickBot="1">
      <c r="B73" s="145" t="str">
        <f t="shared" si="0"/>
        <v/>
      </c>
      <c r="C73" s="525">
        <f>IF(D11="","-",+C72+1)</f>
        <v>2070</v>
      </c>
      <c r="D73" s="526">
        <f>IF(F72+SUM(E$17:E72)=D$10,F72,D$10-SUM(E$17:E72))</f>
        <v>0</v>
      </c>
      <c r="E73" s="527">
        <f t="shared" si="13"/>
        <v>0</v>
      </c>
      <c r="F73" s="528">
        <f t="shared" si="14"/>
        <v>0</v>
      </c>
      <c r="G73" s="612">
        <f t="shared" si="15"/>
        <v>0</v>
      </c>
      <c r="H73" s="459">
        <f t="shared" si="16"/>
        <v>0</v>
      </c>
      <c r="I73" s="530">
        <f t="shared" si="6"/>
        <v>0</v>
      </c>
      <c r="J73" s="501"/>
      <c r="K73" s="531"/>
      <c r="L73" s="532">
        <f t="shared" si="17"/>
        <v>0</v>
      </c>
      <c r="M73" s="531"/>
      <c r="N73" s="532">
        <f t="shared" si="4"/>
        <v>0</v>
      </c>
      <c r="O73" s="532">
        <f t="shared" si="5"/>
        <v>0</v>
      </c>
      <c r="P73" s="279"/>
      <c r="R73" s="244"/>
      <c r="S73" s="244"/>
      <c r="T73" s="244"/>
      <c r="U73" s="244"/>
    </row>
    <row r="74" spans="2:21">
      <c r="C74" s="350" t="s">
        <v>75</v>
      </c>
      <c r="D74" s="295"/>
      <c r="E74" s="295">
        <f>SUM(E17:E73)</f>
        <v>1864625.0099999998</v>
      </c>
      <c r="F74" s="295"/>
      <c r="G74" s="295">
        <f>SUM(G17:G73)</f>
        <v>5417283.4375678962</v>
      </c>
      <c r="H74" s="295">
        <f>SUM(H17:H73)</f>
        <v>5417283.4375678962</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8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229509.43964714528</v>
      </c>
      <c r="N88" s="545">
        <f>IF(J93&lt;D11,0,VLOOKUP(J93,C17:O73,11))</f>
        <v>229509.43964714528</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253775.29946447536</v>
      </c>
      <c r="N89" s="549">
        <f>IF(J93&lt;D11,0,VLOOKUP(J93,C100:P155,7))</f>
        <v>253775.29946447536</v>
      </c>
      <c r="O89" s="550">
        <f>+N89-M89</f>
        <v>0</v>
      </c>
      <c r="P89" s="244"/>
      <c r="Q89" s="244"/>
      <c r="R89" s="244"/>
      <c r="S89" s="244"/>
      <c r="T89" s="244"/>
      <c r="U89" s="244"/>
    </row>
    <row r="90" spans="1:21" ht="13.5" thickBot="1">
      <c r="C90" s="455" t="s">
        <v>82</v>
      </c>
      <c r="D90" s="551" t="str">
        <f>+D7</f>
        <v>Coweta 69 kV Capacitor</v>
      </c>
      <c r="E90" s="244"/>
      <c r="F90" s="244"/>
      <c r="G90" s="244"/>
      <c r="H90" s="244"/>
      <c r="I90" s="326"/>
      <c r="J90" s="326"/>
      <c r="K90" s="552"/>
      <c r="L90" s="553" t="s">
        <v>135</v>
      </c>
      <c r="M90" s="554">
        <f>+M89-M88</f>
        <v>24265.859817330085</v>
      </c>
      <c r="N90" s="554">
        <f>+N89-N88</f>
        <v>24265.859817330085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TP2009089</v>
      </c>
      <c r="E92" s="559"/>
      <c r="F92" s="559"/>
      <c r="G92" s="559"/>
      <c r="H92" s="559"/>
      <c r="I92" s="559"/>
      <c r="J92" s="559"/>
      <c r="K92" s="561"/>
      <c r="P92" s="469"/>
      <c r="Q92" s="244"/>
      <c r="R92" s="244"/>
      <c r="S92" s="244"/>
      <c r="T92" s="244"/>
      <c r="U92" s="244"/>
    </row>
    <row r="93" spans="1:21">
      <c r="C93" s="473" t="s">
        <v>49</v>
      </c>
      <c r="D93" s="599">
        <f>IF(D11=I10,0,D10)</f>
        <v>1864625.01</v>
      </c>
      <c r="E93" s="249" t="s">
        <v>84</v>
      </c>
      <c r="H93" s="409"/>
      <c r="I93" s="409"/>
      <c r="J93" s="472">
        <f>+'OKT.WS.G.BPU.ATRR.True-up'!M16</f>
        <v>2021</v>
      </c>
      <c r="K93" s="468"/>
      <c r="L93" s="295" t="s">
        <v>85</v>
      </c>
      <c r="P93" s="279"/>
      <c r="Q93" s="244"/>
      <c r="R93" s="244"/>
      <c r="S93" s="244"/>
      <c r="T93" s="244"/>
      <c r="U93" s="244"/>
    </row>
    <row r="94" spans="1:21">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6</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74585.000400000004</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2014</v>
      </c>
      <c r="D100" s="613">
        <v>0</v>
      </c>
      <c r="E100" s="614">
        <v>16074.353534482758</v>
      </c>
      <c r="F100" s="615">
        <v>1848550.6564655174</v>
      </c>
      <c r="G100" s="616">
        <v>924275.32823275868</v>
      </c>
      <c r="H100" s="616">
        <v>115474.09051785123</v>
      </c>
      <c r="I100" s="616">
        <v>115474.09051785123</v>
      </c>
      <c r="J100" s="505">
        <v>0</v>
      </c>
      <c r="K100" s="505"/>
      <c r="L100" s="507">
        <f t="shared" ref="L100:L105" si="18">H100</f>
        <v>115474.09051785123</v>
      </c>
      <c r="M100" s="505">
        <f t="shared" ref="M100:M105" si="19">IF(L100&lt;&gt;0,+H100-L100,0)</f>
        <v>0</v>
      </c>
      <c r="N100" s="507">
        <f t="shared" ref="N100:N105" si="20">I100</f>
        <v>115474.09051785123</v>
      </c>
      <c r="O100" s="505">
        <f>IF(N100&lt;&gt;0,+I100-N100,0)</f>
        <v>0</v>
      </c>
      <c r="P100" s="505">
        <f>+O100-M100</f>
        <v>0</v>
      </c>
      <c r="Q100" s="244"/>
      <c r="R100" s="244"/>
      <c r="S100" s="244"/>
      <c r="T100" s="244"/>
      <c r="U100" s="244"/>
    </row>
    <row r="101" spans="1:21">
      <c r="C101" s="496">
        <f>IF(D94="","-",+C100+1)</f>
        <v>2015</v>
      </c>
      <c r="D101" s="506">
        <v>1848550.6564655174</v>
      </c>
      <c r="E101" s="499">
        <v>38846.354375000003</v>
      </c>
      <c r="F101" s="506">
        <v>1809704.3020905172</v>
      </c>
      <c r="G101" s="499">
        <v>1829127.4792780173</v>
      </c>
      <c r="H101" s="500">
        <v>242482.07146648291</v>
      </c>
      <c r="I101" s="500">
        <v>242482.07146648291</v>
      </c>
      <c r="J101" s="500">
        <v>0</v>
      </c>
      <c r="K101" s="505"/>
      <c r="L101" s="507">
        <f t="shared" si="18"/>
        <v>242482.07146648291</v>
      </c>
      <c r="M101" s="505">
        <f t="shared" si="19"/>
        <v>0</v>
      </c>
      <c r="N101" s="507">
        <f t="shared" si="20"/>
        <v>242482.07146648291</v>
      </c>
      <c r="O101" s="505">
        <f t="shared" ref="O101:O131" si="21">IF(N101&lt;&gt;0,+I101-N101,0)</f>
        <v>0</v>
      </c>
      <c r="P101" s="505">
        <f t="shared" ref="P101:P131" si="22">+O101-M101</f>
        <v>0</v>
      </c>
      <c r="Q101" s="244"/>
      <c r="R101" s="244"/>
      <c r="S101" s="244"/>
      <c r="T101" s="244"/>
      <c r="U101" s="244"/>
    </row>
    <row r="102" spans="1:21">
      <c r="C102" s="496">
        <f>IF(D94="","-",+C101+1)</f>
        <v>2016</v>
      </c>
      <c r="D102" s="506">
        <v>1809704.3020905172</v>
      </c>
      <c r="E102" s="499">
        <v>36561.274705882352</v>
      </c>
      <c r="F102" s="506">
        <v>1773143.0273846348</v>
      </c>
      <c r="G102" s="499">
        <v>1791423.6647375762</v>
      </c>
      <c r="H102" s="500">
        <v>230696.88883644732</v>
      </c>
      <c r="I102" s="500">
        <v>230696.88883644732</v>
      </c>
      <c r="J102" s="505">
        <f t="shared" ref="J102:J155" si="23">+I102-H102</f>
        <v>0</v>
      </c>
      <c r="K102" s="505"/>
      <c r="L102" s="507">
        <f t="shared" si="18"/>
        <v>230696.88883644732</v>
      </c>
      <c r="M102" s="505">
        <f t="shared" si="19"/>
        <v>0</v>
      </c>
      <c r="N102" s="507">
        <f t="shared" si="20"/>
        <v>230696.88883644732</v>
      </c>
      <c r="O102" s="505">
        <f>IF(N102&lt;&gt;0,+I102-N102,0)</f>
        <v>0</v>
      </c>
      <c r="P102" s="505">
        <f>+O102-M102</f>
        <v>0</v>
      </c>
      <c r="Q102" s="244"/>
      <c r="R102" s="244"/>
      <c r="S102" s="244"/>
      <c r="T102" s="244"/>
      <c r="U102" s="244"/>
    </row>
    <row r="103" spans="1:21">
      <c r="C103" s="496">
        <f>IF(D94="","-",+C102+1)</f>
        <v>2017</v>
      </c>
      <c r="D103" s="506">
        <v>1773143.0273846348</v>
      </c>
      <c r="E103" s="499">
        <v>46615.625249999997</v>
      </c>
      <c r="F103" s="506">
        <v>1726527.4021346348</v>
      </c>
      <c r="G103" s="499">
        <v>1749835.2147596348</v>
      </c>
      <c r="H103" s="500">
        <v>251934.05240160052</v>
      </c>
      <c r="I103" s="500">
        <v>251934.05240160052</v>
      </c>
      <c r="J103" s="505">
        <v>0</v>
      </c>
      <c r="K103" s="505"/>
      <c r="L103" s="507">
        <f t="shared" si="18"/>
        <v>251934.05240160052</v>
      </c>
      <c r="M103" s="505">
        <f t="shared" si="19"/>
        <v>0</v>
      </c>
      <c r="N103" s="507">
        <f t="shared" si="20"/>
        <v>251934.05240160052</v>
      </c>
      <c r="O103" s="505">
        <f>IF(N103&lt;&gt;0,+I103-N103,0)</f>
        <v>0</v>
      </c>
      <c r="P103" s="505">
        <f>+O103-M103</f>
        <v>0</v>
      </c>
      <c r="Q103" s="244"/>
      <c r="R103" s="244"/>
      <c r="S103" s="244"/>
      <c r="T103" s="244"/>
      <c r="U103" s="244"/>
    </row>
    <row r="104" spans="1:21">
      <c r="C104" s="496">
        <f>IF(D94="","-",+C103+1)</f>
        <v>2018</v>
      </c>
      <c r="D104" s="506">
        <v>1726527.4021346348</v>
      </c>
      <c r="E104" s="499">
        <v>51795.139166666668</v>
      </c>
      <c r="F104" s="506">
        <v>1674732.2629679681</v>
      </c>
      <c r="G104" s="499">
        <v>1700629.8325513015</v>
      </c>
      <c r="H104" s="500">
        <v>231317.7893017451</v>
      </c>
      <c r="I104" s="500">
        <v>231317.7893017451</v>
      </c>
      <c r="J104" s="505">
        <f t="shared" si="23"/>
        <v>0</v>
      </c>
      <c r="K104" s="505"/>
      <c r="L104" s="507">
        <f t="shared" si="18"/>
        <v>231317.7893017451</v>
      </c>
      <c r="M104" s="505">
        <f t="shared" si="19"/>
        <v>0</v>
      </c>
      <c r="N104" s="507">
        <f t="shared" si="20"/>
        <v>231317.7893017451</v>
      </c>
      <c r="O104" s="505">
        <f>IF(N104&lt;&gt;0,+I104-N104,0)</f>
        <v>0</v>
      </c>
      <c r="P104" s="505">
        <f>+O104-M104</f>
        <v>0</v>
      </c>
      <c r="Q104" s="244"/>
      <c r="R104" s="244"/>
      <c r="S104" s="244"/>
      <c r="T104" s="244"/>
      <c r="U104" s="244"/>
    </row>
    <row r="105" spans="1:21">
      <c r="C105" s="496">
        <f>IF(D94="","-",+C104+1)</f>
        <v>2019</v>
      </c>
      <c r="D105" s="506">
        <v>1674732.2629679681</v>
      </c>
      <c r="E105" s="499">
        <v>51795.139166666668</v>
      </c>
      <c r="F105" s="506">
        <v>1622937.1238013015</v>
      </c>
      <c r="G105" s="499">
        <v>1648834.6933846348</v>
      </c>
      <c r="H105" s="500">
        <v>225850.16755988394</v>
      </c>
      <c r="I105" s="500">
        <v>225850.16755988394</v>
      </c>
      <c r="J105" s="505">
        <f t="shared" si="23"/>
        <v>0</v>
      </c>
      <c r="K105" s="505"/>
      <c r="L105" s="507">
        <f t="shared" si="18"/>
        <v>225850.16755988394</v>
      </c>
      <c r="M105" s="505">
        <f t="shared" si="19"/>
        <v>0</v>
      </c>
      <c r="N105" s="507">
        <f t="shared" si="20"/>
        <v>225850.16755988394</v>
      </c>
      <c r="O105" s="505">
        <f>IF(N105&lt;&gt;0,+I105-N105,0)</f>
        <v>0</v>
      </c>
      <c r="P105" s="505">
        <f t="shared" si="22"/>
        <v>0</v>
      </c>
      <c r="Q105" s="244"/>
      <c r="R105" s="244"/>
      <c r="S105" s="244"/>
      <c r="T105" s="244"/>
      <c r="U105" s="244"/>
    </row>
    <row r="106" spans="1:21">
      <c r="C106" s="496">
        <f>IF(D94="","-",+C105+1)</f>
        <v>2020</v>
      </c>
      <c r="D106" s="506">
        <v>1622937.1238013015</v>
      </c>
      <c r="E106" s="499">
        <v>66593.750357142853</v>
      </c>
      <c r="F106" s="506">
        <v>1556343.3734441586</v>
      </c>
      <c r="G106" s="499">
        <v>1589640.2486227299</v>
      </c>
      <c r="H106" s="500">
        <v>235752.93131710603</v>
      </c>
      <c r="I106" s="500">
        <v>235752.93131710603</v>
      </c>
      <c r="J106" s="505">
        <f t="shared" si="23"/>
        <v>0</v>
      </c>
      <c r="K106" s="505"/>
      <c r="L106" s="507">
        <f t="shared" ref="L106" si="24">H106</f>
        <v>235752.93131710603</v>
      </c>
      <c r="M106" s="505">
        <f t="shared" ref="M106" si="25">IF(L106&lt;&gt;0,+H106-L106,0)</f>
        <v>0</v>
      </c>
      <c r="N106" s="507">
        <f t="shared" ref="N106" si="26">I106</f>
        <v>235752.93131710603</v>
      </c>
      <c r="O106" s="505">
        <f t="shared" si="21"/>
        <v>0</v>
      </c>
      <c r="P106" s="505">
        <f t="shared" si="22"/>
        <v>0</v>
      </c>
      <c r="Q106" s="244"/>
      <c r="R106" s="244"/>
      <c r="S106" s="244"/>
      <c r="T106" s="244"/>
      <c r="U106" s="244"/>
    </row>
    <row r="107" spans="1:21">
      <c r="C107" s="496">
        <f>IF(D94="","-",+C106+1)</f>
        <v>2021</v>
      </c>
      <c r="D107" s="350">
        <f>IF(F106+SUM(E$100:E106)=D$93,F106,D$93-SUM(E$100:E106))</f>
        <v>1556343.3734441586</v>
      </c>
      <c r="E107" s="510">
        <f t="shared" ref="E107:E155" si="27">IF(+$J$97&lt;F106,$J$97,D107)</f>
        <v>74585.000400000004</v>
      </c>
      <c r="F107" s="511">
        <f t="shared" ref="F107:F155" si="28">+D107-E107</f>
        <v>1481758.3730441586</v>
      </c>
      <c r="G107" s="511">
        <f t="shared" ref="G107:G155" si="29">+(F107+D107)/2</f>
        <v>1519050.8732441585</v>
      </c>
      <c r="H107" s="646">
        <f t="shared" ref="H107:H155" si="30">(D107+F107)/2*J$95+E107</f>
        <v>253775.29946447536</v>
      </c>
      <c r="I107" s="573">
        <f t="shared" ref="I107:I155" si="31">+J$96*G107+E107</f>
        <v>253775.29946447536</v>
      </c>
      <c r="J107" s="505">
        <f t="shared" si="23"/>
        <v>0</v>
      </c>
      <c r="K107" s="505"/>
      <c r="L107" s="513"/>
      <c r="M107" s="505">
        <f t="shared" ref="M107:M131" si="32">IF(L107&lt;&gt;0,+H107-L107,0)</f>
        <v>0</v>
      </c>
      <c r="N107" s="513"/>
      <c r="O107" s="505">
        <f t="shared" si="21"/>
        <v>0</v>
      </c>
      <c r="P107" s="505">
        <f t="shared" si="22"/>
        <v>0</v>
      </c>
      <c r="Q107" s="244"/>
      <c r="R107" s="244"/>
      <c r="S107" s="244"/>
      <c r="T107" s="244"/>
      <c r="U107" s="244"/>
    </row>
    <row r="108" spans="1:21">
      <c r="C108" s="496">
        <f>IF(D94="","-",+C107+1)</f>
        <v>2022</v>
      </c>
      <c r="D108" s="350">
        <f>IF(F107+SUM(E$100:E107)=D$93,F107,D$93-SUM(E$100:E107))</f>
        <v>1481758.3730441586</v>
      </c>
      <c r="E108" s="510">
        <f t="shared" si="27"/>
        <v>74585.000400000004</v>
      </c>
      <c r="F108" s="511">
        <f t="shared" si="28"/>
        <v>1407173.3726441585</v>
      </c>
      <c r="G108" s="511">
        <f t="shared" si="29"/>
        <v>1444465.8728441587</v>
      </c>
      <c r="H108" s="646">
        <f t="shared" si="30"/>
        <v>244977.10266751278</v>
      </c>
      <c r="I108" s="573">
        <f t="shared" si="31"/>
        <v>244977.10266751278</v>
      </c>
      <c r="J108" s="505">
        <f t="shared" si="23"/>
        <v>0</v>
      </c>
      <c r="K108" s="505"/>
      <c r="L108" s="513"/>
      <c r="M108" s="505">
        <f t="shared" si="32"/>
        <v>0</v>
      </c>
      <c r="N108" s="513"/>
      <c r="O108" s="505">
        <f t="shared" si="21"/>
        <v>0</v>
      </c>
      <c r="P108" s="505">
        <f t="shared" si="22"/>
        <v>0</v>
      </c>
      <c r="Q108" s="244"/>
      <c r="R108" s="244"/>
      <c r="S108" s="244"/>
      <c r="T108" s="244"/>
      <c r="U108" s="244"/>
    </row>
    <row r="109" spans="1:21">
      <c r="C109" s="496">
        <f>IF(D94="","-",+C108+1)</f>
        <v>2023</v>
      </c>
      <c r="D109" s="350">
        <f>IF(F108+SUM(E$100:E108)=D$93,F108,D$93-SUM(E$100:E108))</f>
        <v>1407173.3726441585</v>
      </c>
      <c r="E109" s="510">
        <f t="shared" si="27"/>
        <v>74585.000400000004</v>
      </c>
      <c r="F109" s="511">
        <f t="shared" si="28"/>
        <v>1332588.3722441585</v>
      </c>
      <c r="G109" s="511">
        <f t="shared" si="29"/>
        <v>1369880.8724441584</v>
      </c>
      <c r="H109" s="646">
        <f t="shared" si="30"/>
        <v>236178.90587055014</v>
      </c>
      <c r="I109" s="573">
        <f t="shared" si="31"/>
        <v>236178.90587055014</v>
      </c>
      <c r="J109" s="505">
        <f t="shared" si="23"/>
        <v>0</v>
      </c>
      <c r="K109" s="505"/>
      <c r="L109" s="513"/>
      <c r="M109" s="505">
        <f t="shared" si="32"/>
        <v>0</v>
      </c>
      <c r="N109" s="513"/>
      <c r="O109" s="505">
        <f t="shared" si="21"/>
        <v>0</v>
      </c>
      <c r="P109" s="505">
        <f t="shared" si="22"/>
        <v>0</v>
      </c>
      <c r="Q109" s="244"/>
      <c r="R109" s="244"/>
      <c r="S109" s="244"/>
      <c r="T109" s="244"/>
      <c r="U109" s="244"/>
    </row>
    <row r="110" spans="1:21">
      <c r="C110" s="496">
        <f>IF(D94="","-",+C109+1)</f>
        <v>2024</v>
      </c>
      <c r="D110" s="350">
        <f>IF(F109+SUM(E$100:E109)=D$93,F109,D$93-SUM(E$100:E109))</f>
        <v>1332588.3722441585</v>
      </c>
      <c r="E110" s="510">
        <f t="shared" si="27"/>
        <v>74585.000400000004</v>
      </c>
      <c r="F110" s="511">
        <f t="shared" si="28"/>
        <v>1258003.3718441585</v>
      </c>
      <c r="G110" s="511">
        <f t="shared" si="29"/>
        <v>1295295.8720441586</v>
      </c>
      <c r="H110" s="646">
        <f t="shared" si="30"/>
        <v>227380.70907358755</v>
      </c>
      <c r="I110" s="573">
        <f t="shared" si="31"/>
        <v>227380.70907358755</v>
      </c>
      <c r="J110" s="505">
        <f t="shared" si="23"/>
        <v>0</v>
      </c>
      <c r="K110" s="505"/>
      <c r="L110" s="513"/>
      <c r="M110" s="505">
        <f t="shared" si="32"/>
        <v>0</v>
      </c>
      <c r="N110" s="513"/>
      <c r="O110" s="505">
        <f t="shared" si="21"/>
        <v>0</v>
      </c>
      <c r="P110" s="505">
        <f t="shared" si="22"/>
        <v>0</v>
      </c>
      <c r="Q110" s="244"/>
      <c r="R110" s="244"/>
      <c r="S110" s="244"/>
      <c r="T110" s="244"/>
      <c r="U110" s="244"/>
    </row>
    <row r="111" spans="1:21">
      <c r="C111" s="496">
        <f>IF(D94="","-",+C110+1)</f>
        <v>2025</v>
      </c>
      <c r="D111" s="350">
        <f>IF(F110+SUM(E$100:E110)=D$93,F110,D$93-SUM(E$100:E110))</f>
        <v>1258003.3718441585</v>
      </c>
      <c r="E111" s="510">
        <f t="shared" si="27"/>
        <v>74585.000400000004</v>
      </c>
      <c r="F111" s="511">
        <f t="shared" si="28"/>
        <v>1183418.3714441585</v>
      </c>
      <c r="G111" s="511">
        <f t="shared" si="29"/>
        <v>1220710.8716441584</v>
      </c>
      <c r="H111" s="646">
        <f t="shared" si="30"/>
        <v>218582.51227662491</v>
      </c>
      <c r="I111" s="573">
        <f t="shared" si="31"/>
        <v>218582.51227662491</v>
      </c>
      <c r="J111" s="505">
        <f t="shared" si="23"/>
        <v>0</v>
      </c>
      <c r="K111" s="505"/>
      <c r="L111" s="513"/>
      <c r="M111" s="505">
        <f t="shared" si="32"/>
        <v>0</v>
      </c>
      <c r="N111" s="513"/>
      <c r="O111" s="505">
        <f t="shared" si="21"/>
        <v>0</v>
      </c>
      <c r="P111" s="505">
        <f t="shared" si="22"/>
        <v>0</v>
      </c>
      <c r="Q111" s="244"/>
      <c r="R111" s="244"/>
      <c r="S111" s="244"/>
      <c r="T111" s="244"/>
      <c r="U111" s="244"/>
    </row>
    <row r="112" spans="1:21">
      <c r="C112" s="496">
        <f>IF(D94="","-",+C111+1)</f>
        <v>2026</v>
      </c>
      <c r="D112" s="350">
        <f>IF(F111+SUM(E$100:E111)=D$93,F111,D$93-SUM(E$100:E111))</f>
        <v>1183418.3714441585</v>
      </c>
      <c r="E112" s="510">
        <f t="shared" si="27"/>
        <v>74585.000400000004</v>
      </c>
      <c r="F112" s="511">
        <f t="shared" si="28"/>
        <v>1108833.3710441585</v>
      </c>
      <c r="G112" s="511">
        <f t="shared" si="29"/>
        <v>1146125.8712441586</v>
      </c>
      <c r="H112" s="646">
        <f t="shared" si="30"/>
        <v>209784.31547966233</v>
      </c>
      <c r="I112" s="573">
        <f t="shared" si="31"/>
        <v>209784.31547966233</v>
      </c>
      <c r="J112" s="505">
        <f t="shared" si="23"/>
        <v>0</v>
      </c>
      <c r="K112" s="505"/>
      <c r="L112" s="513"/>
      <c r="M112" s="505">
        <f t="shared" si="32"/>
        <v>0</v>
      </c>
      <c r="N112" s="513"/>
      <c r="O112" s="505">
        <f t="shared" si="21"/>
        <v>0</v>
      </c>
      <c r="P112" s="505">
        <f t="shared" si="22"/>
        <v>0</v>
      </c>
      <c r="Q112" s="244"/>
      <c r="R112" s="244"/>
      <c r="S112" s="244"/>
      <c r="T112" s="244"/>
      <c r="U112" s="244"/>
    </row>
    <row r="113" spans="3:21">
      <c r="C113" s="496">
        <f>IF(D94="","-",+C112+1)</f>
        <v>2027</v>
      </c>
      <c r="D113" s="350">
        <f>IF(F112+SUM(E$100:E112)=D$93,F112,D$93-SUM(E$100:E112))</f>
        <v>1108833.3710441585</v>
      </c>
      <c r="E113" s="510">
        <f t="shared" si="27"/>
        <v>74585.000400000004</v>
      </c>
      <c r="F113" s="511">
        <f t="shared" si="28"/>
        <v>1034248.3706441585</v>
      </c>
      <c r="G113" s="511">
        <f t="shared" si="29"/>
        <v>1071540.8708441583</v>
      </c>
      <c r="H113" s="646">
        <f t="shared" si="30"/>
        <v>200986.11868269969</v>
      </c>
      <c r="I113" s="573">
        <f t="shared" si="31"/>
        <v>200986.11868269969</v>
      </c>
      <c r="J113" s="505">
        <f t="shared" si="23"/>
        <v>0</v>
      </c>
      <c r="K113" s="505"/>
      <c r="L113" s="513"/>
      <c r="M113" s="505">
        <f t="shared" si="32"/>
        <v>0</v>
      </c>
      <c r="N113" s="513"/>
      <c r="O113" s="505">
        <f t="shared" si="21"/>
        <v>0</v>
      </c>
      <c r="P113" s="505">
        <f t="shared" si="22"/>
        <v>0</v>
      </c>
      <c r="Q113" s="244"/>
      <c r="R113" s="244"/>
      <c r="S113" s="244"/>
      <c r="T113" s="244"/>
      <c r="U113" s="244"/>
    </row>
    <row r="114" spans="3:21">
      <c r="C114" s="496">
        <f>IF(D94="","-",+C113+1)</f>
        <v>2028</v>
      </c>
      <c r="D114" s="350">
        <f>IF(F113+SUM(E$100:E113)=D$93,F113,D$93-SUM(E$100:E113))</f>
        <v>1034248.3706441585</v>
      </c>
      <c r="E114" s="510">
        <f t="shared" si="27"/>
        <v>74585.000400000004</v>
      </c>
      <c r="F114" s="511">
        <f t="shared" si="28"/>
        <v>959663.37024415843</v>
      </c>
      <c r="G114" s="511">
        <f t="shared" si="29"/>
        <v>996955.87044415844</v>
      </c>
      <c r="H114" s="646">
        <f t="shared" si="30"/>
        <v>192187.9218857371</v>
      </c>
      <c r="I114" s="573">
        <f t="shared" si="31"/>
        <v>192187.9218857371</v>
      </c>
      <c r="J114" s="505">
        <f t="shared" si="23"/>
        <v>0</v>
      </c>
      <c r="K114" s="505"/>
      <c r="L114" s="513"/>
      <c r="M114" s="505">
        <f t="shared" si="32"/>
        <v>0</v>
      </c>
      <c r="N114" s="513"/>
      <c r="O114" s="505">
        <f t="shared" si="21"/>
        <v>0</v>
      </c>
      <c r="P114" s="505">
        <f t="shared" si="22"/>
        <v>0</v>
      </c>
      <c r="Q114" s="244"/>
      <c r="R114" s="244"/>
      <c r="S114" s="244"/>
      <c r="T114" s="244"/>
      <c r="U114" s="244"/>
    </row>
    <row r="115" spans="3:21">
      <c r="C115" s="496">
        <f>IF(D94="","-",+C114+1)</f>
        <v>2029</v>
      </c>
      <c r="D115" s="350">
        <f>IF(F114+SUM(E$100:E114)=D$93,F114,D$93-SUM(E$100:E114))</f>
        <v>959663.37024415843</v>
      </c>
      <c r="E115" s="510">
        <f t="shared" si="27"/>
        <v>74585.000400000004</v>
      </c>
      <c r="F115" s="511">
        <f t="shared" si="28"/>
        <v>885078.36984415841</v>
      </c>
      <c r="G115" s="511">
        <f t="shared" si="29"/>
        <v>922370.87004415842</v>
      </c>
      <c r="H115" s="646">
        <f t="shared" si="30"/>
        <v>183389.72508877446</v>
      </c>
      <c r="I115" s="573">
        <f t="shared" si="31"/>
        <v>183389.72508877446</v>
      </c>
      <c r="J115" s="505">
        <f t="shared" si="23"/>
        <v>0</v>
      </c>
      <c r="K115" s="505"/>
      <c r="L115" s="513"/>
      <c r="M115" s="505">
        <f t="shared" si="32"/>
        <v>0</v>
      </c>
      <c r="N115" s="513"/>
      <c r="O115" s="505">
        <f t="shared" si="21"/>
        <v>0</v>
      </c>
      <c r="P115" s="505">
        <f t="shared" si="22"/>
        <v>0</v>
      </c>
      <c r="Q115" s="244"/>
      <c r="R115" s="244"/>
      <c r="S115" s="244"/>
      <c r="T115" s="244"/>
      <c r="U115" s="244"/>
    </row>
    <row r="116" spans="3:21">
      <c r="C116" s="496">
        <f>IF(D94="","-",+C115+1)</f>
        <v>2030</v>
      </c>
      <c r="D116" s="350">
        <f>IF(F115+SUM(E$100:E115)=D$93,F115,D$93-SUM(E$100:E115))</f>
        <v>885078.36984415841</v>
      </c>
      <c r="E116" s="510">
        <f t="shared" si="27"/>
        <v>74585.000400000004</v>
      </c>
      <c r="F116" s="511">
        <f t="shared" si="28"/>
        <v>810493.36944415839</v>
      </c>
      <c r="G116" s="511">
        <f t="shared" si="29"/>
        <v>847785.8696441584</v>
      </c>
      <c r="H116" s="646">
        <f t="shared" si="30"/>
        <v>174591.52829181185</v>
      </c>
      <c r="I116" s="573">
        <f t="shared" si="31"/>
        <v>174591.52829181185</v>
      </c>
      <c r="J116" s="505">
        <f t="shared" si="23"/>
        <v>0</v>
      </c>
      <c r="K116" s="505"/>
      <c r="L116" s="513"/>
      <c r="M116" s="505">
        <f t="shared" si="32"/>
        <v>0</v>
      </c>
      <c r="N116" s="513"/>
      <c r="O116" s="505">
        <f t="shared" si="21"/>
        <v>0</v>
      </c>
      <c r="P116" s="505">
        <f t="shared" si="22"/>
        <v>0</v>
      </c>
      <c r="Q116" s="244"/>
      <c r="R116" s="244"/>
      <c r="S116" s="244"/>
      <c r="T116" s="244"/>
      <c r="U116" s="244"/>
    </row>
    <row r="117" spans="3:21">
      <c r="C117" s="496">
        <f>IF(D94="","-",+C116+1)</f>
        <v>2031</v>
      </c>
      <c r="D117" s="350">
        <f>IF(F116+SUM(E$100:E116)=D$93,F116,D$93-SUM(E$100:E116))</f>
        <v>810493.36944415839</v>
      </c>
      <c r="E117" s="510">
        <f t="shared" si="27"/>
        <v>74585.000400000004</v>
      </c>
      <c r="F117" s="511">
        <f t="shared" si="28"/>
        <v>735908.36904415837</v>
      </c>
      <c r="G117" s="511">
        <f t="shared" si="29"/>
        <v>773200.86924415838</v>
      </c>
      <c r="H117" s="646">
        <f t="shared" si="30"/>
        <v>165793.33149484923</v>
      </c>
      <c r="I117" s="573">
        <f t="shared" si="31"/>
        <v>165793.33149484923</v>
      </c>
      <c r="J117" s="505">
        <f t="shared" si="23"/>
        <v>0</v>
      </c>
      <c r="K117" s="505"/>
      <c r="L117" s="513"/>
      <c r="M117" s="505">
        <f t="shared" si="32"/>
        <v>0</v>
      </c>
      <c r="N117" s="513"/>
      <c r="O117" s="505">
        <f t="shared" si="21"/>
        <v>0</v>
      </c>
      <c r="P117" s="505">
        <f t="shared" si="22"/>
        <v>0</v>
      </c>
      <c r="Q117" s="244"/>
      <c r="R117" s="244"/>
      <c r="S117" s="244"/>
      <c r="T117" s="244"/>
      <c r="U117" s="244"/>
    </row>
    <row r="118" spans="3:21">
      <c r="C118" s="496">
        <f>IF(D94="","-",+C117+1)</f>
        <v>2032</v>
      </c>
      <c r="D118" s="350">
        <f>IF(F117+SUM(E$100:E117)=D$93,F117,D$93-SUM(E$100:E117))</f>
        <v>735908.36904415837</v>
      </c>
      <c r="E118" s="510">
        <f t="shared" si="27"/>
        <v>74585.000400000004</v>
      </c>
      <c r="F118" s="511">
        <f t="shared" si="28"/>
        <v>661323.36864415836</v>
      </c>
      <c r="G118" s="511">
        <f t="shared" si="29"/>
        <v>698615.86884415837</v>
      </c>
      <c r="H118" s="646">
        <f t="shared" si="30"/>
        <v>156995.13469788662</v>
      </c>
      <c r="I118" s="573">
        <f t="shared" si="31"/>
        <v>156995.13469788662</v>
      </c>
      <c r="J118" s="505">
        <f t="shared" si="23"/>
        <v>0</v>
      </c>
      <c r="K118" s="505"/>
      <c r="L118" s="513"/>
      <c r="M118" s="505">
        <f t="shared" si="32"/>
        <v>0</v>
      </c>
      <c r="N118" s="513"/>
      <c r="O118" s="505">
        <f t="shared" si="21"/>
        <v>0</v>
      </c>
      <c r="P118" s="505">
        <f t="shared" si="22"/>
        <v>0</v>
      </c>
      <c r="Q118" s="244"/>
      <c r="R118" s="244"/>
      <c r="S118" s="244"/>
      <c r="T118" s="244"/>
      <c r="U118" s="244"/>
    </row>
    <row r="119" spans="3:21">
      <c r="C119" s="496">
        <f>IF(D94="","-",+C118+1)</f>
        <v>2033</v>
      </c>
      <c r="D119" s="350">
        <f>IF(F118+SUM(E$100:E118)=D$93,F118,D$93-SUM(E$100:E118))</f>
        <v>661323.36864415836</v>
      </c>
      <c r="E119" s="510">
        <f t="shared" si="27"/>
        <v>74585.000400000004</v>
      </c>
      <c r="F119" s="511">
        <f t="shared" si="28"/>
        <v>586738.36824415834</v>
      </c>
      <c r="G119" s="511">
        <f t="shared" si="29"/>
        <v>624030.86844415835</v>
      </c>
      <c r="H119" s="646">
        <f t="shared" si="30"/>
        <v>148196.93790092401</v>
      </c>
      <c r="I119" s="573">
        <f t="shared" si="31"/>
        <v>148196.93790092401</v>
      </c>
      <c r="J119" s="505">
        <f t="shared" si="23"/>
        <v>0</v>
      </c>
      <c r="K119" s="505"/>
      <c r="L119" s="513"/>
      <c r="M119" s="505">
        <f t="shared" si="32"/>
        <v>0</v>
      </c>
      <c r="N119" s="513"/>
      <c r="O119" s="505">
        <f t="shared" si="21"/>
        <v>0</v>
      </c>
      <c r="P119" s="505">
        <f t="shared" si="22"/>
        <v>0</v>
      </c>
      <c r="Q119" s="244"/>
      <c r="R119" s="244"/>
      <c r="S119" s="244"/>
      <c r="T119" s="244"/>
      <c r="U119" s="244"/>
    </row>
    <row r="120" spans="3:21">
      <c r="C120" s="496">
        <f>IF(D94="","-",+C119+1)</f>
        <v>2034</v>
      </c>
      <c r="D120" s="350">
        <f>IF(F119+SUM(E$100:E119)=D$93,F119,D$93-SUM(E$100:E119))</f>
        <v>586738.36824415834</v>
      </c>
      <c r="E120" s="510">
        <f t="shared" si="27"/>
        <v>74585.000400000004</v>
      </c>
      <c r="F120" s="511">
        <f t="shared" si="28"/>
        <v>512153.36784415832</v>
      </c>
      <c r="G120" s="511">
        <f t="shared" si="29"/>
        <v>549445.86804415833</v>
      </c>
      <c r="H120" s="646">
        <f t="shared" si="30"/>
        <v>139398.74110396139</v>
      </c>
      <c r="I120" s="573">
        <f t="shared" si="31"/>
        <v>139398.74110396139</v>
      </c>
      <c r="J120" s="505">
        <f t="shared" si="23"/>
        <v>0</v>
      </c>
      <c r="K120" s="505"/>
      <c r="L120" s="513"/>
      <c r="M120" s="505">
        <f t="shared" si="32"/>
        <v>0</v>
      </c>
      <c r="N120" s="513"/>
      <c r="O120" s="505">
        <f t="shared" si="21"/>
        <v>0</v>
      </c>
      <c r="P120" s="505">
        <f t="shared" si="22"/>
        <v>0</v>
      </c>
      <c r="Q120" s="244"/>
      <c r="R120" s="244"/>
      <c r="S120" s="244"/>
      <c r="T120" s="244"/>
      <c r="U120" s="244"/>
    </row>
    <row r="121" spans="3:21">
      <c r="C121" s="496">
        <f>IF(D94="","-",+C120+1)</f>
        <v>2035</v>
      </c>
      <c r="D121" s="350">
        <f>IF(F120+SUM(E$100:E120)=D$93,F120,D$93-SUM(E$100:E120))</f>
        <v>512153.36784415832</v>
      </c>
      <c r="E121" s="510">
        <f t="shared" si="27"/>
        <v>74585.000400000004</v>
      </c>
      <c r="F121" s="511">
        <f t="shared" si="28"/>
        <v>437568.3674441583</v>
      </c>
      <c r="G121" s="511">
        <f t="shared" si="29"/>
        <v>474860.86764415831</v>
      </c>
      <c r="H121" s="646">
        <f t="shared" si="30"/>
        <v>130600.54430699878</v>
      </c>
      <c r="I121" s="573">
        <f t="shared" si="31"/>
        <v>130600.54430699878</v>
      </c>
      <c r="J121" s="505">
        <f t="shared" si="23"/>
        <v>0</v>
      </c>
      <c r="K121" s="505"/>
      <c r="L121" s="513"/>
      <c r="M121" s="505">
        <f t="shared" si="32"/>
        <v>0</v>
      </c>
      <c r="N121" s="513"/>
      <c r="O121" s="505">
        <f t="shared" si="21"/>
        <v>0</v>
      </c>
      <c r="P121" s="505">
        <f t="shared" si="22"/>
        <v>0</v>
      </c>
      <c r="Q121" s="244"/>
      <c r="R121" s="244"/>
      <c r="S121" s="244"/>
      <c r="T121" s="244"/>
      <c r="U121" s="244"/>
    </row>
    <row r="122" spans="3:21">
      <c r="C122" s="496">
        <f>IF(D94="","-",+C121+1)</f>
        <v>2036</v>
      </c>
      <c r="D122" s="350">
        <f>IF(F121+SUM(E$100:E121)=D$93,F121,D$93-SUM(E$100:E121))</f>
        <v>437568.3674441583</v>
      </c>
      <c r="E122" s="510">
        <f t="shared" si="27"/>
        <v>74585.000400000004</v>
      </c>
      <c r="F122" s="511">
        <f t="shared" si="28"/>
        <v>362983.36704415828</v>
      </c>
      <c r="G122" s="511">
        <f t="shared" si="29"/>
        <v>400275.86724415829</v>
      </c>
      <c r="H122" s="646">
        <f t="shared" si="30"/>
        <v>121802.34751003617</v>
      </c>
      <c r="I122" s="573">
        <f t="shared" si="31"/>
        <v>121802.34751003617</v>
      </c>
      <c r="J122" s="505">
        <f t="shared" si="23"/>
        <v>0</v>
      </c>
      <c r="K122" s="505"/>
      <c r="L122" s="513"/>
      <c r="M122" s="505">
        <f t="shared" si="32"/>
        <v>0</v>
      </c>
      <c r="N122" s="513"/>
      <c r="O122" s="505">
        <f t="shared" si="21"/>
        <v>0</v>
      </c>
      <c r="P122" s="505">
        <f t="shared" si="22"/>
        <v>0</v>
      </c>
      <c r="Q122" s="244"/>
      <c r="R122" s="244"/>
      <c r="S122" s="244"/>
      <c r="T122" s="244"/>
      <c r="U122" s="244"/>
    </row>
    <row r="123" spans="3:21">
      <c r="C123" s="496">
        <f>IF(D94="","-",+C122+1)</f>
        <v>2037</v>
      </c>
      <c r="D123" s="350">
        <f>IF(F122+SUM(E$100:E122)=D$93,F122,D$93-SUM(E$100:E122))</f>
        <v>362983.36704415828</v>
      </c>
      <c r="E123" s="510">
        <f t="shared" si="27"/>
        <v>74585.000400000004</v>
      </c>
      <c r="F123" s="511">
        <f t="shared" si="28"/>
        <v>288398.36664415826</v>
      </c>
      <c r="G123" s="511">
        <f t="shared" si="29"/>
        <v>325690.86684415827</v>
      </c>
      <c r="H123" s="646">
        <f t="shared" si="30"/>
        <v>113004.15071307356</v>
      </c>
      <c r="I123" s="573">
        <f t="shared" si="31"/>
        <v>113004.15071307356</v>
      </c>
      <c r="J123" s="505">
        <f t="shared" si="23"/>
        <v>0</v>
      </c>
      <c r="K123" s="505"/>
      <c r="L123" s="513"/>
      <c r="M123" s="505">
        <f t="shared" si="32"/>
        <v>0</v>
      </c>
      <c r="N123" s="513"/>
      <c r="O123" s="505">
        <f t="shared" si="21"/>
        <v>0</v>
      </c>
      <c r="P123" s="505">
        <f t="shared" si="22"/>
        <v>0</v>
      </c>
      <c r="Q123" s="244"/>
      <c r="R123" s="244"/>
      <c r="S123" s="244"/>
      <c r="T123" s="244"/>
      <c r="U123" s="244"/>
    </row>
    <row r="124" spans="3:21">
      <c r="C124" s="496">
        <f>IF(D94="","-",+C123+1)</f>
        <v>2038</v>
      </c>
      <c r="D124" s="350">
        <f>IF(F123+SUM(E$100:E123)=D$93,F123,D$93-SUM(E$100:E123))</f>
        <v>288398.36664415826</v>
      </c>
      <c r="E124" s="510">
        <f t="shared" si="27"/>
        <v>74585.000400000004</v>
      </c>
      <c r="F124" s="511">
        <f t="shared" si="28"/>
        <v>213813.36624415824</v>
      </c>
      <c r="G124" s="511">
        <f t="shared" si="29"/>
        <v>251105.86644415825</v>
      </c>
      <c r="H124" s="646">
        <f t="shared" si="30"/>
        <v>104205.95391611093</v>
      </c>
      <c r="I124" s="573">
        <f t="shared" si="31"/>
        <v>104205.95391611093</v>
      </c>
      <c r="J124" s="505">
        <f t="shared" si="23"/>
        <v>0</v>
      </c>
      <c r="K124" s="505"/>
      <c r="L124" s="513"/>
      <c r="M124" s="505">
        <f t="shared" si="32"/>
        <v>0</v>
      </c>
      <c r="N124" s="513"/>
      <c r="O124" s="505">
        <f t="shared" si="21"/>
        <v>0</v>
      </c>
      <c r="P124" s="505">
        <f t="shared" si="22"/>
        <v>0</v>
      </c>
      <c r="Q124" s="244"/>
      <c r="R124" s="244"/>
      <c r="S124" s="244"/>
      <c r="T124" s="244"/>
      <c r="U124" s="244"/>
    </row>
    <row r="125" spans="3:21">
      <c r="C125" s="496">
        <f>IF(D94="","-",+C124+1)</f>
        <v>2039</v>
      </c>
      <c r="D125" s="350">
        <f>IF(F124+SUM(E$100:E124)=D$93,F124,D$93-SUM(E$100:E124))</f>
        <v>213813.36624415824</v>
      </c>
      <c r="E125" s="510">
        <f t="shared" si="27"/>
        <v>74585.000400000004</v>
      </c>
      <c r="F125" s="511">
        <f t="shared" si="28"/>
        <v>139228.36584415822</v>
      </c>
      <c r="G125" s="511">
        <f t="shared" si="29"/>
        <v>176520.86604415823</v>
      </c>
      <c r="H125" s="646">
        <f t="shared" si="30"/>
        <v>95407.757119148315</v>
      </c>
      <c r="I125" s="573">
        <f t="shared" si="31"/>
        <v>95407.757119148315</v>
      </c>
      <c r="J125" s="505">
        <f t="shared" si="23"/>
        <v>0</v>
      </c>
      <c r="K125" s="505"/>
      <c r="L125" s="513"/>
      <c r="M125" s="505">
        <f t="shared" si="32"/>
        <v>0</v>
      </c>
      <c r="N125" s="513"/>
      <c r="O125" s="505">
        <f t="shared" si="21"/>
        <v>0</v>
      </c>
      <c r="P125" s="505">
        <f t="shared" si="22"/>
        <v>0</v>
      </c>
      <c r="Q125" s="244"/>
      <c r="R125" s="244"/>
      <c r="S125" s="244"/>
      <c r="T125" s="244"/>
      <c r="U125" s="244"/>
    </row>
    <row r="126" spans="3:21">
      <c r="C126" s="496">
        <f>IF(D94="","-",+C125+1)</f>
        <v>2040</v>
      </c>
      <c r="D126" s="350">
        <f>IF(F125+SUM(E$100:E125)=D$93,F125,D$93-SUM(E$100:E125))</f>
        <v>139228.36584415822</v>
      </c>
      <c r="E126" s="510">
        <f t="shared" si="27"/>
        <v>74585.000400000004</v>
      </c>
      <c r="F126" s="511">
        <f t="shared" si="28"/>
        <v>64643.365444158218</v>
      </c>
      <c r="G126" s="511">
        <f t="shared" si="29"/>
        <v>101935.86564415821</v>
      </c>
      <c r="H126" s="646">
        <f t="shared" si="30"/>
        <v>86609.560322185702</v>
      </c>
      <c r="I126" s="573">
        <f t="shared" si="31"/>
        <v>86609.560322185702</v>
      </c>
      <c r="J126" s="505">
        <f t="shared" si="23"/>
        <v>0</v>
      </c>
      <c r="K126" s="505"/>
      <c r="L126" s="513"/>
      <c r="M126" s="505">
        <f t="shared" si="32"/>
        <v>0</v>
      </c>
      <c r="N126" s="513"/>
      <c r="O126" s="505">
        <f t="shared" si="21"/>
        <v>0</v>
      </c>
      <c r="P126" s="505">
        <f t="shared" si="22"/>
        <v>0</v>
      </c>
      <c r="Q126" s="244"/>
      <c r="R126" s="244"/>
      <c r="S126" s="244"/>
      <c r="T126" s="244"/>
      <c r="U126" s="244"/>
    </row>
    <row r="127" spans="3:21">
      <c r="C127" s="496">
        <f>IF(D94="","-",+C126+1)</f>
        <v>2041</v>
      </c>
      <c r="D127" s="350">
        <f>IF(F126+SUM(E$100:E126)=D$93,F126,D$93-SUM(E$100:E126))</f>
        <v>64643.365444158218</v>
      </c>
      <c r="E127" s="510">
        <f t="shared" si="27"/>
        <v>64643.365444158218</v>
      </c>
      <c r="F127" s="511">
        <f t="shared" si="28"/>
        <v>0</v>
      </c>
      <c r="G127" s="511">
        <f t="shared" si="29"/>
        <v>32321.682722079109</v>
      </c>
      <c r="H127" s="646">
        <f t="shared" si="30"/>
        <v>68456.096206010407</v>
      </c>
      <c r="I127" s="573">
        <f t="shared" si="31"/>
        <v>68456.096206010407</v>
      </c>
      <c r="J127" s="505">
        <f t="shared" si="23"/>
        <v>0</v>
      </c>
      <c r="K127" s="505"/>
      <c r="L127" s="513"/>
      <c r="M127" s="505">
        <f t="shared" si="32"/>
        <v>0</v>
      </c>
      <c r="N127" s="513"/>
      <c r="O127" s="505">
        <f t="shared" si="21"/>
        <v>0</v>
      </c>
      <c r="P127" s="505">
        <f t="shared" si="22"/>
        <v>0</v>
      </c>
      <c r="Q127" s="244"/>
      <c r="R127" s="244"/>
      <c r="S127" s="244"/>
      <c r="T127" s="244"/>
      <c r="U127" s="244"/>
    </row>
    <row r="128" spans="3:21">
      <c r="C128" s="496">
        <f>IF(D94="","-",+C127+1)</f>
        <v>2042</v>
      </c>
      <c r="D128" s="350">
        <f>IF(F127+SUM(E$100:E127)=D$93,F127,D$93-SUM(E$100:E127))</f>
        <v>0</v>
      </c>
      <c r="E128" s="510">
        <f t="shared" si="27"/>
        <v>0</v>
      </c>
      <c r="F128" s="511">
        <f t="shared" si="28"/>
        <v>0</v>
      </c>
      <c r="G128" s="511">
        <f t="shared" si="29"/>
        <v>0</v>
      </c>
      <c r="H128" s="646">
        <f t="shared" si="30"/>
        <v>0</v>
      </c>
      <c r="I128" s="573">
        <f t="shared" si="31"/>
        <v>0</v>
      </c>
      <c r="J128" s="505">
        <f t="shared" si="23"/>
        <v>0</v>
      </c>
      <c r="K128" s="505"/>
      <c r="L128" s="513"/>
      <c r="M128" s="505">
        <f t="shared" si="32"/>
        <v>0</v>
      </c>
      <c r="N128" s="513"/>
      <c r="O128" s="505">
        <f t="shared" si="21"/>
        <v>0</v>
      </c>
      <c r="P128" s="505">
        <f t="shared" si="22"/>
        <v>0</v>
      </c>
      <c r="Q128" s="244"/>
      <c r="R128" s="244"/>
      <c r="S128" s="244"/>
      <c r="T128" s="244"/>
      <c r="U128" s="244"/>
    </row>
    <row r="129" spans="3:21">
      <c r="C129" s="496">
        <f>IF(D94="","-",+C128+1)</f>
        <v>2043</v>
      </c>
      <c r="D129" s="350">
        <f>IF(F128+SUM(E$100:E128)=D$93,F128,D$93-SUM(E$100:E128))</f>
        <v>0</v>
      </c>
      <c r="E129" s="510">
        <f t="shared" si="27"/>
        <v>0</v>
      </c>
      <c r="F129" s="511">
        <f t="shared" si="28"/>
        <v>0</v>
      </c>
      <c r="G129" s="511">
        <f t="shared" si="29"/>
        <v>0</v>
      </c>
      <c r="H129" s="646">
        <f t="shared" si="30"/>
        <v>0</v>
      </c>
      <c r="I129" s="573">
        <f t="shared" si="31"/>
        <v>0</v>
      </c>
      <c r="J129" s="505">
        <f t="shared" si="23"/>
        <v>0</v>
      </c>
      <c r="K129" s="505"/>
      <c r="L129" s="513"/>
      <c r="M129" s="505">
        <f t="shared" si="32"/>
        <v>0</v>
      </c>
      <c r="N129" s="513"/>
      <c r="O129" s="505">
        <f t="shared" si="21"/>
        <v>0</v>
      </c>
      <c r="P129" s="505">
        <f t="shared" si="22"/>
        <v>0</v>
      </c>
      <c r="Q129" s="244"/>
      <c r="R129" s="244"/>
      <c r="S129" s="244"/>
      <c r="T129" s="244"/>
      <c r="U129" s="244"/>
    </row>
    <row r="130" spans="3:21">
      <c r="C130" s="496">
        <f>IF(D94="","-",+C129+1)</f>
        <v>2044</v>
      </c>
      <c r="D130" s="350">
        <f>IF(F129+SUM(E$100:E129)=D$93,F129,D$93-SUM(E$100:E129))</f>
        <v>0</v>
      </c>
      <c r="E130" s="510">
        <f t="shared" si="27"/>
        <v>0</v>
      </c>
      <c r="F130" s="511">
        <f t="shared" si="28"/>
        <v>0</v>
      </c>
      <c r="G130" s="511">
        <f t="shared" si="29"/>
        <v>0</v>
      </c>
      <c r="H130" s="646">
        <f t="shared" si="30"/>
        <v>0</v>
      </c>
      <c r="I130" s="573">
        <f t="shared" si="31"/>
        <v>0</v>
      </c>
      <c r="J130" s="505">
        <f t="shared" si="23"/>
        <v>0</v>
      </c>
      <c r="K130" s="505"/>
      <c r="L130" s="513"/>
      <c r="M130" s="505">
        <f t="shared" si="32"/>
        <v>0</v>
      </c>
      <c r="N130" s="513"/>
      <c r="O130" s="505">
        <f t="shared" si="21"/>
        <v>0</v>
      </c>
      <c r="P130" s="505">
        <f t="shared" si="22"/>
        <v>0</v>
      </c>
      <c r="Q130" s="244"/>
      <c r="R130" s="244"/>
      <c r="S130" s="244"/>
      <c r="T130" s="244"/>
      <c r="U130" s="244"/>
    </row>
    <row r="131" spans="3:21">
      <c r="C131" s="496">
        <f>IF(D94="","-",+C130+1)</f>
        <v>2045</v>
      </c>
      <c r="D131" s="350">
        <f>IF(F130+SUM(E$100:E130)=D$93,F130,D$93-SUM(E$100:E130))</f>
        <v>0</v>
      </c>
      <c r="E131" s="510">
        <f t="shared" si="27"/>
        <v>0</v>
      </c>
      <c r="F131" s="511">
        <f t="shared" si="28"/>
        <v>0</v>
      </c>
      <c r="G131" s="511">
        <f t="shared" si="29"/>
        <v>0</v>
      </c>
      <c r="H131" s="646">
        <f t="shared" si="30"/>
        <v>0</v>
      </c>
      <c r="I131" s="573">
        <f t="shared" si="31"/>
        <v>0</v>
      </c>
      <c r="J131" s="505">
        <f t="shared" si="23"/>
        <v>0</v>
      </c>
      <c r="K131" s="505"/>
      <c r="L131" s="513"/>
      <c r="M131" s="505">
        <f t="shared" si="32"/>
        <v>0</v>
      </c>
      <c r="N131" s="513"/>
      <c r="O131" s="505">
        <f t="shared" si="21"/>
        <v>0</v>
      </c>
      <c r="P131" s="505">
        <f t="shared" si="22"/>
        <v>0</v>
      </c>
      <c r="Q131" s="244"/>
      <c r="R131" s="244"/>
      <c r="S131" s="244"/>
      <c r="T131" s="244"/>
      <c r="U131" s="244"/>
    </row>
    <row r="132" spans="3:21">
      <c r="C132" s="496">
        <f>IF(D94="","-",+C131+1)</f>
        <v>2046</v>
      </c>
      <c r="D132" s="350">
        <f>IF(F131+SUM(E$100:E131)=D$93,F131,D$93-SUM(E$100:E131))</f>
        <v>0</v>
      </c>
      <c r="E132" s="510">
        <f t="shared" si="27"/>
        <v>0</v>
      </c>
      <c r="F132" s="511">
        <f t="shared" si="28"/>
        <v>0</v>
      </c>
      <c r="G132" s="511">
        <f t="shared" si="29"/>
        <v>0</v>
      </c>
      <c r="H132" s="646">
        <f t="shared" si="30"/>
        <v>0</v>
      </c>
      <c r="I132" s="573">
        <f t="shared" si="31"/>
        <v>0</v>
      </c>
      <c r="J132" s="505">
        <f t="shared" si="23"/>
        <v>0</v>
      </c>
      <c r="K132" s="505"/>
      <c r="L132" s="513"/>
      <c r="M132" s="505">
        <f t="shared" ref="M132:M155" si="33">IF(L542&lt;&gt;0,+H542-L542,0)</f>
        <v>0</v>
      </c>
      <c r="N132" s="513"/>
      <c r="O132" s="505">
        <f t="shared" ref="O132:O155" si="34">IF(N542&lt;&gt;0,+I542-N542,0)</f>
        <v>0</v>
      </c>
      <c r="P132" s="505">
        <f t="shared" ref="P132:P155" si="35">+O542-M542</f>
        <v>0</v>
      </c>
      <c r="Q132" s="244"/>
      <c r="R132" s="244"/>
      <c r="S132" s="244"/>
      <c r="T132" s="244"/>
      <c r="U132" s="244"/>
    </row>
    <row r="133" spans="3:21">
      <c r="C133" s="496">
        <f>IF(D94="","-",+C132+1)</f>
        <v>2047</v>
      </c>
      <c r="D133" s="350">
        <f>IF(F132+SUM(E$100:E132)=D$93,F132,D$93-SUM(E$100:E132))</f>
        <v>0</v>
      </c>
      <c r="E133" s="510">
        <f t="shared" si="27"/>
        <v>0</v>
      </c>
      <c r="F133" s="511">
        <f t="shared" si="28"/>
        <v>0</v>
      </c>
      <c r="G133" s="511">
        <f t="shared" si="29"/>
        <v>0</v>
      </c>
      <c r="H133" s="646">
        <f t="shared" si="30"/>
        <v>0</v>
      </c>
      <c r="I133" s="573">
        <f t="shared" si="31"/>
        <v>0</v>
      </c>
      <c r="J133" s="505">
        <f t="shared" si="23"/>
        <v>0</v>
      </c>
      <c r="K133" s="505"/>
      <c r="L133" s="513"/>
      <c r="M133" s="505">
        <f t="shared" si="33"/>
        <v>0</v>
      </c>
      <c r="N133" s="513"/>
      <c r="O133" s="505">
        <f t="shared" si="34"/>
        <v>0</v>
      </c>
      <c r="P133" s="505">
        <f t="shared" si="35"/>
        <v>0</v>
      </c>
      <c r="Q133" s="244"/>
      <c r="R133" s="244"/>
      <c r="S133" s="244"/>
      <c r="T133" s="244"/>
      <c r="U133" s="244"/>
    </row>
    <row r="134" spans="3:21">
      <c r="C134" s="496">
        <f>IF(D94="","-",+C133+1)</f>
        <v>2048</v>
      </c>
      <c r="D134" s="350">
        <f>IF(F133+SUM(E$100:E133)=D$93,F133,D$93-SUM(E$100:E133))</f>
        <v>0</v>
      </c>
      <c r="E134" s="510">
        <f t="shared" si="27"/>
        <v>0</v>
      </c>
      <c r="F134" s="511">
        <f t="shared" si="28"/>
        <v>0</v>
      </c>
      <c r="G134" s="511">
        <f t="shared" si="29"/>
        <v>0</v>
      </c>
      <c r="H134" s="646">
        <f t="shared" si="30"/>
        <v>0</v>
      </c>
      <c r="I134" s="573">
        <f t="shared" si="31"/>
        <v>0</v>
      </c>
      <c r="J134" s="505">
        <f t="shared" si="23"/>
        <v>0</v>
      </c>
      <c r="K134" s="505"/>
      <c r="L134" s="513"/>
      <c r="M134" s="505">
        <f t="shared" si="33"/>
        <v>0</v>
      </c>
      <c r="N134" s="513"/>
      <c r="O134" s="505">
        <f t="shared" si="34"/>
        <v>0</v>
      </c>
      <c r="P134" s="505">
        <f t="shared" si="35"/>
        <v>0</v>
      </c>
      <c r="Q134" s="244"/>
      <c r="R134" s="244"/>
      <c r="S134" s="244"/>
      <c r="T134" s="244"/>
      <c r="U134" s="244"/>
    </row>
    <row r="135" spans="3:21">
      <c r="C135" s="496">
        <f>IF(D94="","-",+C134+1)</f>
        <v>2049</v>
      </c>
      <c r="D135" s="350">
        <f>IF(F134+SUM(E$100:E134)=D$93,F134,D$93-SUM(E$100:E134))</f>
        <v>0</v>
      </c>
      <c r="E135" s="510">
        <f t="shared" si="27"/>
        <v>0</v>
      </c>
      <c r="F135" s="511">
        <f t="shared" si="28"/>
        <v>0</v>
      </c>
      <c r="G135" s="511">
        <f t="shared" si="29"/>
        <v>0</v>
      </c>
      <c r="H135" s="646">
        <f t="shared" si="30"/>
        <v>0</v>
      </c>
      <c r="I135" s="573">
        <f t="shared" si="31"/>
        <v>0</v>
      </c>
      <c r="J135" s="505">
        <f t="shared" si="23"/>
        <v>0</v>
      </c>
      <c r="K135" s="505"/>
      <c r="L135" s="513"/>
      <c r="M135" s="505">
        <f t="shared" si="33"/>
        <v>0</v>
      </c>
      <c r="N135" s="513"/>
      <c r="O135" s="505">
        <f t="shared" si="34"/>
        <v>0</v>
      </c>
      <c r="P135" s="505">
        <f t="shared" si="35"/>
        <v>0</v>
      </c>
      <c r="Q135" s="244"/>
      <c r="R135" s="244"/>
      <c r="S135" s="244"/>
      <c r="T135" s="244"/>
      <c r="U135" s="244"/>
    </row>
    <row r="136" spans="3:21">
      <c r="C136" s="496">
        <f>IF(D94="","-",+C135+1)</f>
        <v>2050</v>
      </c>
      <c r="D136" s="350">
        <f>IF(F135+SUM(E$100:E135)=D$93,F135,D$93-SUM(E$100:E135))</f>
        <v>0</v>
      </c>
      <c r="E136" s="510">
        <f t="shared" si="27"/>
        <v>0</v>
      </c>
      <c r="F136" s="511">
        <f t="shared" si="28"/>
        <v>0</v>
      </c>
      <c r="G136" s="511">
        <f t="shared" si="29"/>
        <v>0</v>
      </c>
      <c r="H136" s="646">
        <f t="shared" si="30"/>
        <v>0</v>
      </c>
      <c r="I136" s="573">
        <f t="shared" si="31"/>
        <v>0</v>
      </c>
      <c r="J136" s="505">
        <f t="shared" si="23"/>
        <v>0</v>
      </c>
      <c r="K136" s="505"/>
      <c r="L136" s="513"/>
      <c r="M136" s="505">
        <f t="shared" si="33"/>
        <v>0</v>
      </c>
      <c r="N136" s="513"/>
      <c r="O136" s="505">
        <f t="shared" si="34"/>
        <v>0</v>
      </c>
      <c r="P136" s="505">
        <f t="shared" si="35"/>
        <v>0</v>
      </c>
      <c r="Q136" s="244"/>
      <c r="R136" s="244"/>
      <c r="S136" s="244"/>
      <c r="T136" s="244"/>
      <c r="U136" s="244"/>
    </row>
    <row r="137" spans="3:21">
      <c r="C137" s="496">
        <f>IF(D94="","-",+C136+1)</f>
        <v>2051</v>
      </c>
      <c r="D137" s="350">
        <f>IF(F136+SUM(E$100:E136)=D$93,F136,D$93-SUM(E$100:E136))</f>
        <v>0</v>
      </c>
      <c r="E137" s="510">
        <f t="shared" si="27"/>
        <v>0</v>
      </c>
      <c r="F137" s="511">
        <f t="shared" si="28"/>
        <v>0</v>
      </c>
      <c r="G137" s="511">
        <f t="shared" si="29"/>
        <v>0</v>
      </c>
      <c r="H137" s="646">
        <f t="shared" si="30"/>
        <v>0</v>
      </c>
      <c r="I137" s="573">
        <f t="shared" si="31"/>
        <v>0</v>
      </c>
      <c r="J137" s="505">
        <f t="shared" si="23"/>
        <v>0</v>
      </c>
      <c r="K137" s="505"/>
      <c r="L137" s="513"/>
      <c r="M137" s="505">
        <f t="shared" si="33"/>
        <v>0</v>
      </c>
      <c r="N137" s="513"/>
      <c r="O137" s="505">
        <f t="shared" si="34"/>
        <v>0</v>
      </c>
      <c r="P137" s="505">
        <f t="shared" si="35"/>
        <v>0</v>
      </c>
      <c r="Q137" s="244"/>
      <c r="R137" s="244"/>
      <c r="S137" s="244"/>
      <c r="T137" s="244"/>
      <c r="U137" s="244"/>
    </row>
    <row r="138" spans="3:21">
      <c r="C138" s="496">
        <f>IF(D94="","-",+C137+1)</f>
        <v>2052</v>
      </c>
      <c r="D138" s="350">
        <f>IF(F137+SUM(E$100:E137)=D$93,F137,D$93-SUM(E$100:E137))</f>
        <v>0</v>
      </c>
      <c r="E138" s="510">
        <f t="shared" si="27"/>
        <v>0</v>
      </c>
      <c r="F138" s="511">
        <f t="shared" si="28"/>
        <v>0</v>
      </c>
      <c r="G138" s="511">
        <f t="shared" si="29"/>
        <v>0</v>
      </c>
      <c r="H138" s="646">
        <f t="shared" si="30"/>
        <v>0</v>
      </c>
      <c r="I138" s="573">
        <f t="shared" si="31"/>
        <v>0</v>
      </c>
      <c r="J138" s="505">
        <f t="shared" si="23"/>
        <v>0</v>
      </c>
      <c r="K138" s="505"/>
      <c r="L138" s="513"/>
      <c r="M138" s="505">
        <f t="shared" si="33"/>
        <v>0</v>
      </c>
      <c r="N138" s="513"/>
      <c r="O138" s="505">
        <f t="shared" si="34"/>
        <v>0</v>
      </c>
      <c r="P138" s="505">
        <f t="shared" si="35"/>
        <v>0</v>
      </c>
      <c r="Q138" s="244"/>
      <c r="R138" s="244"/>
      <c r="S138" s="244"/>
      <c r="T138" s="244"/>
      <c r="U138" s="244"/>
    </row>
    <row r="139" spans="3:21">
      <c r="C139" s="496">
        <f>IF(D94="","-",+C138+1)</f>
        <v>2053</v>
      </c>
      <c r="D139" s="350">
        <f>IF(F138+SUM(E$100:E138)=D$93,F138,D$93-SUM(E$100:E138))</f>
        <v>0</v>
      </c>
      <c r="E139" s="510">
        <f t="shared" si="27"/>
        <v>0</v>
      </c>
      <c r="F139" s="511">
        <f t="shared" si="28"/>
        <v>0</v>
      </c>
      <c r="G139" s="511">
        <f t="shared" si="29"/>
        <v>0</v>
      </c>
      <c r="H139" s="646">
        <f t="shared" si="30"/>
        <v>0</v>
      </c>
      <c r="I139" s="573">
        <f t="shared" si="31"/>
        <v>0</v>
      </c>
      <c r="J139" s="505">
        <f t="shared" si="23"/>
        <v>0</v>
      </c>
      <c r="K139" s="505"/>
      <c r="L139" s="513"/>
      <c r="M139" s="505">
        <f t="shared" si="33"/>
        <v>0</v>
      </c>
      <c r="N139" s="513"/>
      <c r="O139" s="505">
        <f t="shared" si="34"/>
        <v>0</v>
      </c>
      <c r="P139" s="505">
        <f t="shared" si="35"/>
        <v>0</v>
      </c>
      <c r="Q139" s="244"/>
      <c r="R139" s="244"/>
      <c r="S139" s="244"/>
      <c r="T139" s="244"/>
      <c r="U139" s="244"/>
    </row>
    <row r="140" spans="3:21">
      <c r="C140" s="496">
        <f>IF(D94="","-",+C139+1)</f>
        <v>2054</v>
      </c>
      <c r="D140" s="350">
        <f>IF(F139+SUM(E$100:E139)=D$93,F139,D$93-SUM(E$100:E139))</f>
        <v>0</v>
      </c>
      <c r="E140" s="510">
        <f t="shared" si="27"/>
        <v>0</v>
      </c>
      <c r="F140" s="511">
        <f t="shared" si="28"/>
        <v>0</v>
      </c>
      <c r="G140" s="511">
        <f t="shared" si="29"/>
        <v>0</v>
      </c>
      <c r="H140" s="646">
        <f t="shared" si="30"/>
        <v>0</v>
      </c>
      <c r="I140" s="573">
        <f t="shared" si="31"/>
        <v>0</v>
      </c>
      <c r="J140" s="505">
        <f t="shared" si="23"/>
        <v>0</v>
      </c>
      <c r="K140" s="505"/>
      <c r="L140" s="513"/>
      <c r="M140" s="505">
        <f t="shared" si="33"/>
        <v>0</v>
      </c>
      <c r="N140" s="513"/>
      <c r="O140" s="505">
        <f t="shared" si="34"/>
        <v>0</v>
      </c>
      <c r="P140" s="505">
        <f t="shared" si="35"/>
        <v>0</v>
      </c>
      <c r="Q140" s="244"/>
      <c r="R140" s="244"/>
      <c r="S140" s="244"/>
      <c r="T140" s="244"/>
      <c r="U140" s="244"/>
    </row>
    <row r="141" spans="3:21">
      <c r="C141" s="496">
        <f>IF(D94="","-",+C140+1)</f>
        <v>2055</v>
      </c>
      <c r="D141" s="350">
        <f>IF(F140+SUM(E$100:E140)=D$93,F140,D$93-SUM(E$100:E140))</f>
        <v>0</v>
      </c>
      <c r="E141" s="510">
        <f t="shared" si="27"/>
        <v>0</v>
      </c>
      <c r="F141" s="511">
        <f t="shared" si="28"/>
        <v>0</v>
      </c>
      <c r="G141" s="511">
        <f t="shared" si="29"/>
        <v>0</v>
      </c>
      <c r="H141" s="646">
        <f t="shared" si="30"/>
        <v>0</v>
      </c>
      <c r="I141" s="573">
        <f t="shared" si="31"/>
        <v>0</v>
      </c>
      <c r="J141" s="505">
        <f t="shared" si="23"/>
        <v>0</v>
      </c>
      <c r="K141" s="505"/>
      <c r="L141" s="513"/>
      <c r="M141" s="505">
        <f t="shared" si="33"/>
        <v>0</v>
      </c>
      <c r="N141" s="513"/>
      <c r="O141" s="505">
        <f t="shared" si="34"/>
        <v>0</v>
      </c>
      <c r="P141" s="505">
        <f t="shared" si="35"/>
        <v>0</v>
      </c>
      <c r="Q141" s="244"/>
      <c r="R141" s="244"/>
      <c r="S141" s="244"/>
      <c r="T141" s="244"/>
      <c r="U141" s="244"/>
    </row>
    <row r="142" spans="3:21">
      <c r="C142" s="496">
        <f>IF(D94="","-",+C141+1)</f>
        <v>2056</v>
      </c>
      <c r="D142" s="350">
        <f>IF(F141+SUM(E$100:E141)=D$93,F141,D$93-SUM(E$100:E141))</f>
        <v>0</v>
      </c>
      <c r="E142" s="510">
        <f t="shared" si="27"/>
        <v>0</v>
      </c>
      <c r="F142" s="511">
        <f t="shared" si="28"/>
        <v>0</v>
      </c>
      <c r="G142" s="511">
        <f t="shared" si="29"/>
        <v>0</v>
      </c>
      <c r="H142" s="646">
        <f t="shared" si="30"/>
        <v>0</v>
      </c>
      <c r="I142" s="573">
        <f t="shared" si="31"/>
        <v>0</v>
      </c>
      <c r="J142" s="505">
        <f t="shared" si="23"/>
        <v>0</v>
      </c>
      <c r="K142" s="505"/>
      <c r="L142" s="513"/>
      <c r="M142" s="505">
        <f t="shared" si="33"/>
        <v>0</v>
      </c>
      <c r="N142" s="513"/>
      <c r="O142" s="505">
        <f t="shared" si="34"/>
        <v>0</v>
      </c>
      <c r="P142" s="505">
        <f t="shared" si="35"/>
        <v>0</v>
      </c>
      <c r="Q142" s="244"/>
      <c r="R142" s="244"/>
      <c r="S142" s="244"/>
      <c r="T142" s="244"/>
      <c r="U142" s="244"/>
    </row>
    <row r="143" spans="3:21">
      <c r="C143" s="496">
        <f>IF(D94="","-",+C142+1)</f>
        <v>2057</v>
      </c>
      <c r="D143" s="350">
        <f>IF(F142+SUM(E$100:E142)=D$93,F142,D$93-SUM(E$100:E142))</f>
        <v>0</v>
      </c>
      <c r="E143" s="510">
        <f t="shared" si="27"/>
        <v>0</v>
      </c>
      <c r="F143" s="511">
        <f t="shared" si="28"/>
        <v>0</v>
      </c>
      <c r="G143" s="511">
        <f t="shared" si="29"/>
        <v>0</v>
      </c>
      <c r="H143" s="646">
        <f t="shared" si="30"/>
        <v>0</v>
      </c>
      <c r="I143" s="573">
        <f t="shared" si="31"/>
        <v>0</v>
      </c>
      <c r="J143" s="505">
        <f t="shared" si="23"/>
        <v>0</v>
      </c>
      <c r="K143" s="505"/>
      <c r="L143" s="513"/>
      <c r="M143" s="505">
        <f t="shared" si="33"/>
        <v>0</v>
      </c>
      <c r="N143" s="513"/>
      <c r="O143" s="505">
        <f t="shared" si="34"/>
        <v>0</v>
      </c>
      <c r="P143" s="505">
        <f t="shared" si="35"/>
        <v>0</v>
      </c>
      <c r="Q143" s="244"/>
      <c r="R143" s="244"/>
      <c r="S143" s="244"/>
      <c r="T143" s="244"/>
      <c r="U143" s="244"/>
    </row>
    <row r="144" spans="3:21">
      <c r="C144" s="496">
        <f>IF(D94="","-",+C143+1)</f>
        <v>2058</v>
      </c>
      <c r="D144" s="350">
        <f>IF(F143+SUM(E$100:E143)=D$93,F143,D$93-SUM(E$100:E143))</f>
        <v>0</v>
      </c>
      <c r="E144" s="510">
        <f t="shared" si="27"/>
        <v>0</v>
      </c>
      <c r="F144" s="511">
        <f t="shared" si="28"/>
        <v>0</v>
      </c>
      <c r="G144" s="511">
        <f t="shared" si="29"/>
        <v>0</v>
      </c>
      <c r="H144" s="646">
        <f t="shared" si="30"/>
        <v>0</v>
      </c>
      <c r="I144" s="573">
        <f t="shared" si="31"/>
        <v>0</v>
      </c>
      <c r="J144" s="505">
        <f t="shared" si="23"/>
        <v>0</v>
      </c>
      <c r="K144" s="505"/>
      <c r="L144" s="513"/>
      <c r="M144" s="505">
        <f t="shared" si="33"/>
        <v>0</v>
      </c>
      <c r="N144" s="513"/>
      <c r="O144" s="505">
        <f t="shared" si="34"/>
        <v>0</v>
      </c>
      <c r="P144" s="505">
        <f t="shared" si="35"/>
        <v>0</v>
      </c>
      <c r="Q144" s="244"/>
      <c r="R144" s="244"/>
      <c r="S144" s="244"/>
      <c r="T144" s="244"/>
      <c r="U144" s="244"/>
    </row>
    <row r="145" spans="3:21">
      <c r="C145" s="496">
        <f>IF(D94="","-",+C144+1)</f>
        <v>2059</v>
      </c>
      <c r="D145" s="350">
        <f>IF(F144+SUM(E$100:E144)=D$93,F144,D$93-SUM(E$100:E144))</f>
        <v>0</v>
      </c>
      <c r="E145" s="510">
        <f t="shared" si="27"/>
        <v>0</v>
      </c>
      <c r="F145" s="511">
        <f t="shared" si="28"/>
        <v>0</v>
      </c>
      <c r="G145" s="511">
        <f t="shared" si="29"/>
        <v>0</v>
      </c>
      <c r="H145" s="646">
        <f t="shared" si="30"/>
        <v>0</v>
      </c>
      <c r="I145" s="573">
        <f t="shared" si="31"/>
        <v>0</v>
      </c>
      <c r="J145" s="505">
        <f t="shared" si="23"/>
        <v>0</v>
      </c>
      <c r="K145" s="505"/>
      <c r="L145" s="513"/>
      <c r="M145" s="505">
        <f t="shared" si="33"/>
        <v>0</v>
      </c>
      <c r="N145" s="513"/>
      <c r="O145" s="505">
        <f t="shared" si="34"/>
        <v>0</v>
      </c>
      <c r="P145" s="505">
        <f t="shared" si="35"/>
        <v>0</v>
      </c>
      <c r="Q145" s="244"/>
      <c r="R145" s="244"/>
      <c r="S145" s="244"/>
      <c r="T145" s="244"/>
      <c r="U145" s="244"/>
    </row>
    <row r="146" spans="3:21">
      <c r="C146" s="496">
        <f>IF(D94="","-",+C145+1)</f>
        <v>2060</v>
      </c>
      <c r="D146" s="350">
        <f>IF(F145+SUM(E$100:E145)=D$93,F145,D$93-SUM(E$100:E145))</f>
        <v>0</v>
      </c>
      <c r="E146" s="510">
        <f t="shared" si="27"/>
        <v>0</v>
      </c>
      <c r="F146" s="511">
        <f t="shared" si="28"/>
        <v>0</v>
      </c>
      <c r="G146" s="511">
        <f t="shared" si="29"/>
        <v>0</v>
      </c>
      <c r="H146" s="646">
        <f t="shared" si="30"/>
        <v>0</v>
      </c>
      <c r="I146" s="573">
        <f t="shared" si="31"/>
        <v>0</v>
      </c>
      <c r="J146" s="505">
        <f t="shared" si="23"/>
        <v>0</v>
      </c>
      <c r="K146" s="505"/>
      <c r="L146" s="513"/>
      <c r="M146" s="505">
        <f t="shared" si="33"/>
        <v>0</v>
      </c>
      <c r="N146" s="513"/>
      <c r="O146" s="505">
        <f t="shared" si="34"/>
        <v>0</v>
      </c>
      <c r="P146" s="505">
        <f t="shared" si="35"/>
        <v>0</v>
      </c>
      <c r="Q146" s="244"/>
      <c r="R146" s="244"/>
      <c r="S146" s="244"/>
      <c r="T146" s="244"/>
      <c r="U146" s="244"/>
    </row>
    <row r="147" spans="3:21">
      <c r="C147" s="496">
        <f>IF(D94="","-",+C146+1)</f>
        <v>2061</v>
      </c>
      <c r="D147" s="350">
        <f>IF(F146+SUM(E$100:E146)=D$93,F146,D$93-SUM(E$100:E146))</f>
        <v>0</v>
      </c>
      <c r="E147" s="510">
        <f t="shared" si="27"/>
        <v>0</v>
      </c>
      <c r="F147" s="511">
        <f t="shared" si="28"/>
        <v>0</v>
      </c>
      <c r="G147" s="511">
        <f t="shared" si="29"/>
        <v>0</v>
      </c>
      <c r="H147" s="646">
        <f t="shared" si="30"/>
        <v>0</v>
      </c>
      <c r="I147" s="573">
        <f t="shared" si="31"/>
        <v>0</v>
      </c>
      <c r="J147" s="505">
        <f t="shared" si="23"/>
        <v>0</v>
      </c>
      <c r="K147" s="505"/>
      <c r="L147" s="513"/>
      <c r="M147" s="505">
        <f t="shared" si="33"/>
        <v>0</v>
      </c>
      <c r="N147" s="513"/>
      <c r="O147" s="505">
        <f t="shared" si="34"/>
        <v>0</v>
      </c>
      <c r="P147" s="505">
        <f t="shared" si="35"/>
        <v>0</v>
      </c>
      <c r="Q147" s="244"/>
      <c r="R147" s="244"/>
      <c r="S147" s="244"/>
      <c r="T147" s="244"/>
      <c r="U147" s="244"/>
    </row>
    <row r="148" spans="3:21">
      <c r="C148" s="496">
        <f>IF(D94="","-",+C147+1)</f>
        <v>2062</v>
      </c>
      <c r="D148" s="350">
        <f>IF(F147+SUM(E$100:E147)=D$93,F147,D$93-SUM(E$100:E147))</f>
        <v>0</v>
      </c>
      <c r="E148" s="510">
        <f t="shared" si="27"/>
        <v>0</v>
      </c>
      <c r="F148" s="511">
        <f t="shared" si="28"/>
        <v>0</v>
      </c>
      <c r="G148" s="511">
        <f t="shared" si="29"/>
        <v>0</v>
      </c>
      <c r="H148" s="646">
        <f t="shared" si="30"/>
        <v>0</v>
      </c>
      <c r="I148" s="573">
        <f t="shared" si="31"/>
        <v>0</v>
      </c>
      <c r="J148" s="505">
        <f t="shared" si="23"/>
        <v>0</v>
      </c>
      <c r="K148" s="505"/>
      <c r="L148" s="513"/>
      <c r="M148" s="505">
        <f t="shared" si="33"/>
        <v>0</v>
      </c>
      <c r="N148" s="513"/>
      <c r="O148" s="505">
        <f t="shared" si="34"/>
        <v>0</v>
      </c>
      <c r="P148" s="505">
        <f t="shared" si="35"/>
        <v>0</v>
      </c>
      <c r="Q148" s="244"/>
      <c r="R148" s="244"/>
      <c r="S148" s="244"/>
      <c r="T148" s="244"/>
      <c r="U148" s="244"/>
    </row>
    <row r="149" spans="3:21">
      <c r="C149" s="496">
        <f>IF(D94="","-",+C148+1)</f>
        <v>2063</v>
      </c>
      <c r="D149" s="350">
        <f>IF(F148+SUM(E$100:E148)=D$93,F148,D$93-SUM(E$100:E148))</f>
        <v>0</v>
      </c>
      <c r="E149" s="510">
        <f t="shared" si="27"/>
        <v>0</v>
      </c>
      <c r="F149" s="511">
        <f t="shared" si="28"/>
        <v>0</v>
      </c>
      <c r="G149" s="511">
        <f t="shared" si="29"/>
        <v>0</v>
      </c>
      <c r="H149" s="646">
        <f t="shared" si="30"/>
        <v>0</v>
      </c>
      <c r="I149" s="573">
        <f t="shared" si="31"/>
        <v>0</v>
      </c>
      <c r="J149" s="505">
        <f t="shared" si="23"/>
        <v>0</v>
      </c>
      <c r="K149" s="505"/>
      <c r="L149" s="513"/>
      <c r="M149" s="505">
        <f t="shared" si="33"/>
        <v>0</v>
      </c>
      <c r="N149" s="513"/>
      <c r="O149" s="505">
        <f t="shared" si="34"/>
        <v>0</v>
      </c>
      <c r="P149" s="505">
        <f t="shared" si="35"/>
        <v>0</v>
      </c>
      <c r="Q149" s="244"/>
      <c r="R149" s="244"/>
      <c r="S149" s="244"/>
      <c r="T149" s="244"/>
      <c r="U149" s="244"/>
    </row>
    <row r="150" spans="3:21">
      <c r="C150" s="496">
        <f>IF(D94="","-",+C149+1)</f>
        <v>2064</v>
      </c>
      <c r="D150" s="350">
        <f>IF(F149+SUM(E$100:E149)=D$93,F149,D$93-SUM(E$100:E149))</f>
        <v>0</v>
      </c>
      <c r="E150" s="510">
        <f t="shared" si="27"/>
        <v>0</v>
      </c>
      <c r="F150" s="511">
        <f t="shared" si="28"/>
        <v>0</v>
      </c>
      <c r="G150" s="511">
        <f t="shared" si="29"/>
        <v>0</v>
      </c>
      <c r="H150" s="646">
        <f t="shared" si="30"/>
        <v>0</v>
      </c>
      <c r="I150" s="573">
        <f t="shared" si="31"/>
        <v>0</v>
      </c>
      <c r="J150" s="505">
        <f t="shared" si="23"/>
        <v>0</v>
      </c>
      <c r="K150" s="505"/>
      <c r="L150" s="513"/>
      <c r="M150" s="505">
        <f t="shared" si="33"/>
        <v>0</v>
      </c>
      <c r="N150" s="513"/>
      <c r="O150" s="505">
        <f t="shared" si="34"/>
        <v>0</v>
      </c>
      <c r="P150" s="505">
        <f t="shared" si="35"/>
        <v>0</v>
      </c>
      <c r="Q150" s="244"/>
      <c r="R150" s="244"/>
      <c r="S150" s="244"/>
      <c r="T150" s="244"/>
      <c r="U150" s="244"/>
    </row>
    <row r="151" spans="3:21">
      <c r="C151" s="496">
        <f>IF(D94="","-",+C150+1)</f>
        <v>2065</v>
      </c>
      <c r="D151" s="350">
        <f>IF(F150+SUM(E$100:E150)=D$93,F150,D$93-SUM(E$100:E150))</f>
        <v>0</v>
      </c>
      <c r="E151" s="510">
        <f t="shared" si="27"/>
        <v>0</v>
      </c>
      <c r="F151" s="511">
        <f t="shared" si="28"/>
        <v>0</v>
      </c>
      <c r="G151" s="511">
        <f t="shared" si="29"/>
        <v>0</v>
      </c>
      <c r="H151" s="646">
        <f t="shared" si="30"/>
        <v>0</v>
      </c>
      <c r="I151" s="573">
        <f t="shared" si="31"/>
        <v>0</v>
      </c>
      <c r="J151" s="505">
        <f t="shared" si="23"/>
        <v>0</v>
      </c>
      <c r="K151" s="505"/>
      <c r="L151" s="513"/>
      <c r="M151" s="505">
        <f t="shared" si="33"/>
        <v>0</v>
      </c>
      <c r="N151" s="513"/>
      <c r="O151" s="505">
        <f t="shared" si="34"/>
        <v>0</v>
      </c>
      <c r="P151" s="505">
        <f t="shared" si="35"/>
        <v>0</v>
      </c>
      <c r="Q151" s="244"/>
      <c r="R151" s="244"/>
      <c r="S151" s="244"/>
      <c r="T151" s="244"/>
      <c r="U151" s="244"/>
    </row>
    <row r="152" spans="3:21">
      <c r="C152" s="496">
        <f>IF(D94="","-",+C151+1)</f>
        <v>2066</v>
      </c>
      <c r="D152" s="350">
        <f>IF(F151+SUM(E$100:E151)=D$93,F151,D$93-SUM(E$100:E151))</f>
        <v>0</v>
      </c>
      <c r="E152" s="510">
        <f t="shared" si="27"/>
        <v>0</v>
      </c>
      <c r="F152" s="511">
        <f t="shared" si="28"/>
        <v>0</v>
      </c>
      <c r="G152" s="511">
        <f t="shared" si="29"/>
        <v>0</v>
      </c>
      <c r="H152" s="646">
        <f t="shared" si="30"/>
        <v>0</v>
      </c>
      <c r="I152" s="573">
        <f t="shared" si="31"/>
        <v>0</v>
      </c>
      <c r="J152" s="505">
        <f t="shared" si="23"/>
        <v>0</v>
      </c>
      <c r="K152" s="505"/>
      <c r="L152" s="513"/>
      <c r="M152" s="505">
        <f t="shared" si="33"/>
        <v>0</v>
      </c>
      <c r="N152" s="513"/>
      <c r="O152" s="505">
        <f t="shared" si="34"/>
        <v>0</v>
      </c>
      <c r="P152" s="505">
        <f t="shared" si="35"/>
        <v>0</v>
      </c>
      <c r="Q152" s="244"/>
      <c r="R152" s="244"/>
      <c r="S152" s="244"/>
      <c r="T152" s="244"/>
      <c r="U152" s="244"/>
    </row>
    <row r="153" spans="3:21">
      <c r="C153" s="496">
        <f>IF(D94="","-",+C152+1)</f>
        <v>2067</v>
      </c>
      <c r="D153" s="350">
        <f>IF(F152+SUM(E$100:E152)=D$93,F152,D$93-SUM(E$100:E152))</f>
        <v>0</v>
      </c>
      <c r="E153" s="510">
        <f t="shared" si="27"/>
        <v>0</v>
      </c>
      <c r="F153" s="511">
        <f t="shared" si="28"/>
        <v>0</v>
      </c>
      <c r="G153" s="511">
        <f t="shared" si="29"/>
        <v>0</v>
      </c>
      <c r="H153" s="646">
        <f t="shared" si="30"/>
        <v>0</v>
      </c>
      <c r="I153" s="573">
        <f t="shared" si="31"/>
        <v>0</v>
      </c>
      <c r="J153" s="505">
        <f t="shared" si="23"/>
        <v>0</v>
      </c>
      <c r="K153" s="505"/>
      <c r="L153" s="513"/>
      <c r="M153" s="505">
        <f t="shared" si="33"/>
        <v>0</v>
      </c>
      <c r="N153" s="513"/>
      <c r="O153" s="505">
        <f t="shared" si="34"/>
        <v>0</v>
      </c>
      <c r="P153" s="505">
        <f t="shared" si="35"/>
        <v>0</v>
      </c>
      <c r="Q153" s="244"/>
      <c r="R153" s="244"/>
      <c r="S153" s="244"/>
      <c r="T153" s="244"/>
      <c r="U153" s="244"/>
    </row>
    <row r="154" spans="3:21">
      <c r="C154" s="496">
        <f>IF(D94="","-",+C153+1)</f>
        <v>2068</v>
      </c>
      <c r="D154" s="350">
        <f>IF(F153+SUM(E$100:E153)=D$93,F153,D$93-SUM(E$100:E153))</f>
        <v>0</v>
      </c>
      <c r="E154" s="510">
        <f t="shared" si="27"/>
        <v>0</v>
      </c>
      <c r="F154" s="511">
        <f t="shared" si="28"/>
        <v>0</v>
      </c>
      <c r="G154" s="511">
        <f t="shared" si="29"/>
        <v>0</v>
      </c>
      <c r="H154" s="646">
        <f t="shared" si="30"/>
        <v>0</v>
      </c>
      <c r="I154" s="573">
        <f t="shared" si="31"/>
        <v>0</v>
      </c>
      <c r="J154" s="505">
        <f t="shared" si="23"/>
        <v>0</v>
      </c>
      <c r="K154" s="505"/>
      <c r="L154" s="513"/>
      <c r="M154" s="505">
        <f t="shared" si="33"/>
        <v>0</v>
      </c>
      <c r="N154" s="513"/>
      <c r="O154" s="505">
        <f t="shared" si="34"/>
        <v>0</v>
      </c>
      <c r="P154" s="505">
        <f t="shared" si="35"/>
        <v>0</v>
      </c>
      <c r="Q154" s="244"/>
      <c r="R154" s="244"/>
      <c r="S154" s="244"/>
      <c r="T154" s="244"/>
      <c r="U154" s="244"/>
    </row>
    <row r="155" spans="3:21" ht="13.5" thickBot="1">
      <c r="C155" s="525">
        <f>IF(D94="","-",+C154+1)</f>
        <v>2069</v>
      </c>
      <c r="D155" s="619">
        <f>IF(F154+SUM(E$100:E154)=D$93,F154,D$93-SUM(E$100:E154))</f>
        <v>0</v>
      </c>
      <c r="E155" s="527">
        <f t="shared" si="27"/>
        <v>0</v>
      </c>
      <c r="F155" s="528">
        <f t="shared" si="28"/>
        <v>0</v>
      </c>
      <c r="G155" s="528">
        <f t="shared" si="29"/>
        <v>0</v>
      </c>
      <c r="H155" s="646">
        <f t="shared" si="30"/>
        <v>0</v>
      </c>
      <c r="I155" s="574">
        <f t="shared" si="31"/>
        <v>0</v>
      </c>
      <c r="J155" s="532">
        <f t="shared" si="23"/>
        <v>0</v>
      </c>
      <c r="K155" s="505"/>
      <c r="L155" s="531"/>
      <c r="M155" s="532">
        <f t="shared" si="33"/>
        <v>0</v>
      </c>
      <c r="N155" s="531"/>
      <c r="O155" s="532">
        <f t="shared" si="34"/>
        <v>0</v>
      </c>
      <c r="P155" s="532">
        <f t="shared" si="35"/>
        <v>0</v>
      </c>
      <c r="Q155" s="244"/>
      <c r="R155" s="244"/>
      <c r="S155" s="244"/>
      <c r="T155" s="244"/>
      <c r="U155" s="244"/>
    </row>
    <row r="156" spans="3:21">
      <c r="C156" s="350" t="s">
        <v>75</v>
      </c>
      <c r="D156" s="295"/>
      <c r="E156" s="295">
        <f>SUM(E100:E155)</f>
        <v>1864625.0099999998</v>
      </c>
      <c r="F156" s="295"/>
      <c r="G156" s="295"/>
      <c r="H156" s="295">
        <f>SUM(H100:H155)</f>
        <v>5005812.6854737373</v>
      </c>
      <c r="I156" s="295">
        <f>SUM(I100:I155)</f>
        <v>5005812.6854737373</v>
      </c>
      <c r="J156" s="295">
        <f>SUM(J100:J155)</f>
        <v>0</v>
      </c>
      <c r="K156" s="295"/>
      <c r="L156" s="295"/>
      <c r="M156" s="295"/>
      <c r="N156" s="295"/>
      <c r="O156" s="295"/>
      <c r="P156" s="244"/>
      <c r="Q156" s="244"/>
      <c r="R156" s="244"/>
      <c r="S156" s="244"/>
      <c r="T156" s="244"/>
      <c r="U156" s="244"/>
    </row>
    <row r="157" spans="3:21">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c r="C158" s="575"/>
      <c r="D158" s="293"/>
      <c r="E158" s="244"/>
      <c r="F158" s="244"/>
      <c r="G158" s="244"/>
      <c r="H158" s="244"/>
      <c r="I158" s="326"/>
      <c r="J158" s="326"/>
      <c r="K158" s="295"/>
      <c r="L158" s="326"/>
      <c r="M158" s="326"/>
      <c r="N158" s="326"/>
      <c r="O158" s="326"/>
      <c r="P158" s="244"/>
      <c r="Q158" s="244"/>
      <c r="R158" s="244"/>
      <c r="S158" s="244"/>
      <c r="T158" s="244"/>
      <c r="U158" s="244"/>
    </row>
    <row r="159" spans="3:21">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6" priority="1" stopIfTrue="1" operator="equal">
      <formula>$I$10</formula>
    </cfRule>
  </conditionalFormatting>
  <conditionalFormatting sqref="C100:C155">
    <cfRule type="cellIs" dxfId="35"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dimension ref="A1:U163"/>
  <sheetViews>
    <sheetView zoomScaleNormal="100" zoomScaleSheetLayoutView="78"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9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1044606.9924692181</v>
      </c>
      <c r="P5" s="244"/>
      <c r="R5" s="244"/>
      <c r="S5" s="244"/>
      <c r="T5" s="244"/>
      <c r="U5" s="244"/>
    </row>
    <row r="6" spans="1:21" ht="15.75">
      <c r="C6" s="236"/>
      <c r="D6" s="293"/>
      <c r="E6" s="244"/>
      <c r="F6" s="244"/>
      <c r="G6" s="244"/>
      <c r="H6" s="450"/>
      <c r="I6" s="450"/>
      <c r="J6" s="451"/>
      <c r="K6" s="452" t="s">
        <v>243</v>
      </c>
      <c r="L6" s="453"/>
      <c r="M6" s="279"/>
      <c r="N6" s="454">
        <f>VLOOKUP(I10,C17:I73,6)</f>
        <v>1044606.9924692181</v>
      </c>
      <c r="O6" s="244"/>
      <c r="P6" s="244"/>
      <c r="R6" s="244"/>
      <c r="S6" s="244"/>
      <c r="T6" s="244"/>
      <c r="U6" s="244"/>
    </row>
    <row r="7" spans="1:21" ht="13.5" thickBot="1">
      <c r="C7" s="455" t="s">
        <v>46</v>
      </c>
      <c r="D7" s="456" t="s">
        <v>220</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219</v>
      </c>
      <c r="E9" s="466"/>
      <c r="F9" s="466"/>
      <c r="G9" s="466"/>
      <c r="H9" s="466"/>
      <c r="I9" s="467"/>
      <c r="J9" s="468"/>
      <c r="O9" s="469"/>
      <c r="P9" s="279"/>
      <c r="R9" s="244"/>
      <c r="S9" s="244"/>
      <c r="T9" s="244"/>
      <c r="U9" s="244"/>
    </row>
    <row r="10" spans="1:21">
      <c r="C10" s="470" t="s">
        <v>49</v>
      </c>
      <c r="D10" s="471">
        <v>8535104</v>
      </c>
      <c r="E10" s="300" t="s">
        <v>50</v>
      </c>
      <c r="F10" s="469"/>
      <c r="G10" s="409"/>
      <c r="H10" s="409"/>
      <c r="I10" s="472">
        <f>+'OKT.WS.F.BPU.ATRR.Projected'!R100</f>
        <v>2020</v>
      </c>
      <c r="J10" s="468"/>
      <c r="K10" s="295" t="s">
        <v>51</v>
      </c>
      <c r="O10" s="279"/>
      <c r="P10" s="279"/>
      <c r="R10" s="244"/>
      <c r="S10" s="244"/>
      <c r="T10" s="244"/>
      <c r="U10" s="244"/>
    </row>
    <row r="11" spans="1:21">
      <c r="C11" s="473" t="s">
        <v>52</v>
      </c>
      <c r="D11" s="474">
        <v>2015</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0.1064171487591708</v>
      </c>
      <c r="J12" s="414"/>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251032.4705882353</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2015</v>
      </c>
      <c r="D17" s="613">
        <v>7400000</v>
      </c>
      <c r="E17" s="621">
        <v>74674.92363561083</v>
      </c>
      <c r="F17" s="613">
        <v>7325325.0763643896</v>
      </c>
      <c r="G17" s="621">
        <v>578000.14938532724</v>
      </c>
      <c r="H17" s="618">
        <v>578000.14938532724</v>
      </c>
      <c r="I17" s="501">
        <v>0</v>
      </c>
      <c r="J17" s="501"/>
      <c r="K17" s="507">
        <f t="shared" ref="K17:K22" si="1">G17</f>
        <v>578000.14938532724</v>
      </c>
      <c r="L17" s="508">
        <f t="shared" ref="L17:L22" si="2">IF(K17&lt;&gt;0,+G17-K17,0)</f>
        <v>0</v>
      </c>
      <c r="M17" s="507">
        <f t="shared" ref="M17:M22" si="3">H17</f>
        <v>578000.14938532724</v>
      </c>
      <c r="N17" s="505">
        <f>IF(M17&lt;&gt;0,+H17-M17,0)</f>
        <v>0</v>
      </c>
      <c r="O17" s="505">
        <f>+N17-L17</f>
        <v>0</v>
      </c>
      <c r="P17" s="279"/>
      <c r="R17" s="244"/>
      <c r="S17" s="244"/>
      <c r="T17" s="244"/>
      <c r="U17" s="244"/>
    </row>
    <row r="18" spans="2:21">
      <c r="B18" s="145" t="str">
        <f t="shared" si="0"/>
        <v>IU</v>
      </c>
      <c r="C18" s="496">
        <f>IF(D11="","-",+C17+1)</f>
        <v>2016</v>
      </c>
      <c r="D18" s="618">
        <v>8381815.0763643896</v>
      </c>
      <c r="E18" s="618">
        <v>175721.24624335562</v>
      </c>
      <c r="F18" s="618">
        <v>8206093.8301210338</v>
      </c>
      <c r="G18" s="618">
        <v>1060997.6854975934</v>
      </c>
      <c r="H18" s="618">
        <v>1060997.6854975934</v>
      </c>
      <c r="I18" s="501">
        <f>H18-G18</f>
        <v>0</v>
      </c>
      <c r="J18" s="501"/>
      <c r="K18" s="507">
        <f t="shared" si="1"/>
        <v>1060997.6854975934</v>
      </c>
      <c r="L18" s="508">
        <f t="shared" si="2"/>
        <v>0</v>
      </c>
      <c r="M18" s="507">
        <f t="shared" si="3"/>
        <v>1060997.6854975934</v>
      </c>
      <c r="N18" s="505">
        <f t="shared" ref="N18:N73" si="4">IF(M18&lt;&gt;0,+H18-M18,0)</f>
        <v>0</v>
      </c>
      <c r="O18" s="505">
        <f t="shared" ref="O18:O73" si="5">+N18-L18</f>
        <v>0</v>
      </c>
      <c r="P18" s="279"/>
      <c r="R18" s="244"/>
      <c r="S18" s="244"/>
      <c r="T18" s="244"/>
      <c r="U18" s="244"/>
    </row>
    <row r="19" spans="2:21">
      <c r="B19" s="145" t="str">
        <f t="shared" si="0"/>
        <v>IU</v>
      </c>
      <c r="C19" s="496">
        <f>IF(D11="","-",+C18+1)</f>
        <v>2017</v>
      </c>
      <c r="D19" s="618">
        <v>8284707.8301210338</v>
      </c>
      <c r="E19" s="618">
        <v>167817.04229981007</v>
      </c>
      <c r="F19" s="618">
        <v>8116890.787821224</v>
      </c>
      <c r="G19" s="618">
        <v>1069412.6916216947</v>
      </c>
      <c r="H19" s="618">
        <v>1069412.6916216947</v>
      </c>
      <c r="I19" s="501">
        <f t="shared" ref="I19:I73" si="6">H19-G19</f>
        <v>0</v>
      </c>
      <c r="J19" s="501"/>
      <c r="K19" s="507">
        <f t="shared" si="1"/>
        <v>1069412.6916216947</v>
      </c>
      <c r="L19" s="508">
        <f t="shared" si="2"/>
        <v>0</v>
      </c>
      <c r="M19" s="507">
        <f t="shared" si="3"/>
        <v>1069412.6916216947</v>
      </c>
      <c r="N19" s="505">
        <f>IF(M19&lt;&gt;0,+H19-M19,0)</f>
        <v>0</v>
      </c>
      <c r="O19" s="505">
        <f>+N19-L19</f>
        <v>0</v>
      </c>
      <c r="P19" s="279"/>
      <c r="R19" s="244"/>
      <c r="S19" s="244"/>
      <c r="T19" s="244"/>
      <c r="U19" s="244"/>
    </row>
    <row r="20" spans="2:21">
      <c r="B20" s="145" t="str">
        <f t="shared" si="0"/>
        <v/>
      </c>
      <c r="C20" s="496">
        <f>IF(D11="","-",+C19+1)</f>
        <v>2018</v>
      </c>
      <c r="D20" s="618">
        <v>8116890.787821224</v>
      </c>
      <c r="E20" s="618">
        <v>209319.85738284502</v>
      </c>
      <c r="F20" s="618">
        <v>7907570.9304383788</v>
      </c>
      <c r="G20" s="618">
        <v>1150685.0893689205</v>
      </c>
      <c r="H20" s="618">
        <v>1150685.0893689205</v>
      </c>
      <c r="I20" s="501">
        <v>0</v>
      </c>
      <c r="J20" s="501"/>
      <c r="K20" s="507">
        <f t="shared" si="1"/>
        <v>1150685.0893689205</v>
      </c>
      <c r="L20" s="508">
        <f t="shared" si="2"/>
        <v>0</v>
      </c>
      <c r="M20" s="507">
        <f t="shared" si="3"/>
        <v>1150685.0893689205</v>
      </c>
      <c r="N20" s="505">
        <f>IF(M20&lt;&gt;0,+H20-M20,0)</f>
        <v>0</v>
      </c>
      <c r="O20" s="505">
        <f>+N20-L20</f>
        <v>0</v>
      </c>
      <c r="P20" s="279"/>
      <c r="R20" s="244"/>
      <c r="S20" s="244"/>
      <c r="T20" s="244"/>
      <c r="U20" s="244"/>
    </row>
    <row r="21" spans="2:21">
      <c r="B21" s="145" t="str">
        <f t="shared" si="0"/>
        <v/>
      </c>
      <c r="C21" s="496">
        <f>IF(D11="","-",+C20+1)</f>
        <v>2019</v>
      </c>
      <c r="D21" s="618">
        <v>7907570.9304383788</v>
      </c>
      <c r="E21" s="618">
        <v>209319.85738284502</v>
      </c>
      <c r="F21" s="618">
        <v>7698251.0730555337</v>
      </c>
      <c r="G21" s="618">
        <v>1126091.884359112</v>
      </c>
      <c r="H21" s="618">
        <v>1126091.884359112</v>
      </c>
      <c r="I21" s="501">
        <f t="shared" si="6"/>
        <v>0</v>
      </c>
      <c r="J21" s="501"/>
      <c r="K21" s="507">
        <f t="shared" si="1"/>
        <v>1126091.884359112</v>
      </c>
      <c r="L21" s="508">
        <f t="shared" si="2"/>
        <v>0</v>
      </c>
      <c r="M21" s="507">
        <f t="shared" si="3"/>
        <v>1126091.884359112</v>
      </c>
      <c r="N21" s="505">
        <f>IF(M21&lt;&gt;0,+H21-M21,0)</f>
        <v>0</v>
      </c>
      <c r="O21" s="505">
        <f>+N21-L21</f>
        <v>0</v>
      </c>
      <c r="P21" s="279"/>
      <c r="R21" s="244"/>
      <c r="S21" s="244"/>
      <c r="T21" s="244"/>
      <c r="U21" s="244"/>
    </row>
    <row r="22" spans="2:21">
      <c r="B22" s="145" t="str">
        <f t="shared" si="0"/>
        <v/>
      </c>
      <c r="C22" s="496">
        <f>IF(D11="","-",+C21+1)</f>
        <v>2020</v>
      </c>
      <c r="D22" s="618">
        <v>7698251.0730555337</v>
      </c>
      <c r="E22" s="618">
        <v>249923.04161572127</v>
      </c>
      <c r="F22" s="618">
        <v>7448328.0314398129</v>
      </c>
      <c r="G22" s="618">
        <v>1044606.9924692181</v>
      </c>
      <c r="H22" s="618">
        <v>1044606.9924692181</v>
      </c>
      <c r="I22" s="501">
        <f t="shared" si="6"/>
        <v>0</v>
      </c>
      <c r="J22" s="501"/>
      <c r="K22" s="507">
        <f t="shared" si="1"/>
        <v>1044606.9924692181</v>
      </c>
      <c r="L22" s="508">
        <f t="shared" si="2"/>
        <v>0</v>
      </c>
      <c r="M22" s="507">
        <f t="shared" si="3"/>
        <v>1044606.9924692181</v>
      </c>
      <c r="N22" s="505">
        <f t="shared" si="4"/>
        <v>0</v>
      </c>
      <c r="O22" s="505">
        <f t="shared" si="5"/>
        <v>0</v>
      </c>
      <c r="P22" s="279"/>
      <c r="R22" s="244"/>
      <c r="S22" s="244"/>
      <c r="T22" s="244"/>
      <c r="U22" s="244"/>
    </row>
    <row r="23" spans="2:21">
      <c r="B23" s="145" t="str">
        <f t="shared" si="0"/>
        <v>IU</v>
      </c>
      <c r="C23" s="496">
        <f>IF(D11="","-",+C22+1)</f>
        <v>2021</v>
      </c>
      <c r="D23" s="618">
        <v>7404506.5458218828</v>
      </c>
      <c r="E23" s="618">
        <v>275325.93548387097</v>
      </c>
      <c r="F23" s="618">
        <v>7129180.6103380118</v>
      </c>
      <c r="G23" s="618">
        <v>1061489.8962062567</v>
      </c>
      <c r="H23" s="618">
        <v>1061489.8962062567</v>
      </c>
      <c r="I23" s="501">
        <f t="shared" si="6"/>
        <v>0</v>
      </c>
      <c r="J23" s="501"/>
      <c r="K23" s="507">
        <f t="shared" ref="K23" si="7">G23</f>
        <v>1061489.8962062567</v>
      </c>
      <c r="L23" s="508">
        <f t="shared" ref="L23" si="8">IF(K23&lt;&gt;0,+G23-K23,0)</f>
        <v>0</v>
      </c>
      <c r="M23" s="507">
        <f t="shared" ref="M23" si="9">H23</f>
        <v>1061489.8962062567</v>
      </c>
      <c r="N23" s="505">
        <f t="shared" si="4"/>
        <v>0</v>
      </c>
      <c r="O23" s="505">
        <f t="shared" si="5"/>
        <v>0</v>
      </c>
      <c r="P23" s="279"/>
      <c r="R23" s="244"/>
      <c r="S23" s="244"/>
      <c r="T23" s="244"/>
      <c r="U23" s="244"/>
    </row>
    <row r="24" spans="2:21">
      <c r="B24" s="145" t="str">
        <f t="shared" si="0"/>
        <v>IU</v>
      </c>
      <c r="C24" s="496">
        <f>IF(D11="","-",+C23+1)</f>
        <v>2022</v>
      </c>
      <c r="D24" s="509">
        <f>IF(F23+SUM(E$17:E23)=D$10,F23,D$10-SUM(E$17:E23))</f>
        <v>7173002.0959559409</v>
      </c>
      <c r="E24" s="510">
        <f t="shared" ref="E24:E73" si="10">IF(+$I$14&lt;F23,$I$14,D24)</f>
        <v>251032.4705882353</v>
      </c>
      <c r="F24" s="511">
        <f t="shared" ref="F24:F73" si="11">+D24-E24</f>
        <v>6921969.6253677057</v>
      </c>
      <c r="G24" s="512">
        <f t="shared" ref="G24:G73" si="12">(D24+F24)/2*I$12+E24</f>
        <v>1001005.8218004374</v>
      </c>
      <c r="H24" s="478">
        <f t="shared" ref="H24:H73" si="13">+(D24+F24)/2*I$13+E24</f>
        <v>1001005.8218004374</v>
      </c>
      <c r="I24" s="501">
        <f t="shared" si="6"/>
        <v>0</v>
      </c>
      <c r="J24" s="501"/>
      <c r="K24" s="513"/>
      <c r="L24" s="505">
        <f t="shared" ref="L24:L73" si="14">IF(K24&lt;&gt;0,+G24-K24,0)</f>
        <v>0</v>
      </c>
      <c r="M24" s="513"/>
      <c r="N24" s="505">
        <f t="shared" si="4"/>
        <v>0</v>
      </c>
      <c r="O24" s="505">
        <f t="shared" si="5"/>
        <v>0</v>
      </c>
      <c r="P24" s="279"/>
      <c r="R24" s="244"/>
      <c r="S24" s="244"/>
      <c r="T24" s="244"/>
      <c r="U24" s="244"/>
    </row>
    <row r="25" spans="2:21">
      <c r="B25" s="145" t="str">
        <f t="shared" si="0"/>
        <v/>
      </c>
      <c r="C25" s="496">
        <f>IF(D11="","-",+C24+1)</f>
        <v>2023</v>
      </c>
      <c r="D25" s="509">
        <f>IF(F24+SUM(E$17:E24)=D$10,F24,D$10-SUM(E$17:E24))</f>
        <v>6921969.6253677057</v>
      </c>
      <c r="E25" s="510">
        <f t="shared" si="10"/>
        <v>251032.4705882353</v>
      </c>
      <c r="F25" s="511">
        <f t="shared" si="11"/>
        <v>6670937.1547794705</v>
      </c>
      <c r="G25" s="512">
        <f t="shared" si="12"/>
        <v>974291.66203446698</v>
      </c>
      <c r="H25" s="478">
        <f t="shared" si="13"/>
        <v>974291.66203446698</v>
      </c>
      <c r="I25" s="501">
        <f t="shared" si="6"/>
        <v>0</v>
      </c>
      <c r="J25" s="501"/>
      <c r="K25" s="513"/>
      <c r="L25" s="505">
        <f t="shared" si="14"/>
        <v>0</v>
      </c>
      <c r="M25" s="513"/>
      <c r="N25" s="505">
        <f t="shared" si="4"/>
        <v>0</v>
      </c>
      <c r="O25" s="505">
        <f t="shared" si="5"/>
        <v>0</v>
      </c>
      <c r="P25" s="279"/>
      <c r="R25" s="244"/>
      <c r="S25" s="244"/>
      <c r="T25" s="244"/>
      <c r="U25" s="244"/>
    </row>
    <row r="26" spans="2:21">
      <c r="B26" s="145" t="str">
        <f t="shared" si="0"/>
        <v/>
      </c>
      <c r="C26" s="496">
        <f>IF(D11="","-",+C25+1)</f>
        <v>2024</v>
      </c>
      <c r="D26" s="509">
        <f>IF(F25+SUM(E$17:E25)=D$10,F25,D$10-SUM(E$17:E25))</f>
        <v>6670937.1547794705</v>
      </c>
      <c r="E26" s="510">
        <f t="shared" si="10"/>
        <v>251032.4705882353</v>
      </c>
      <c r="F26" s="511">
        <f t="shared" si="11"/>
        <v>6419904.6841912353</v>
      </c>
      <c r="G26" s="512">
        <f t="shared" si="12"/>
        <v>947577.50226849667</v>
      </c>
      <c r="H26" s="478">
        <f t="shared" si="13"/>
        <v>947577.50226849667</v>
      </c>
      <c r="I26" s="501">
        <f t="shared" si="6"/>
        <v>0</v>
      </c>
      <c r="J26" s="501"/>
      <c r="K26" s="513"/>
      <c r="L26" s="505">
        <f t="shared" si="14"/>
        <v>0</v>
      </c>
      <c r="M26" s="513"/>
      <c r="N26" s="505">
        <f t="shared" si="4"/>
        <v>0</v>
      </c>
      <c r="O26" s="505">
        <f t="shared" si="5"/>
        <v>0</v>
      </c>
      <c r="P26" s="279"/>
      <c r="R26" s="244"/>
      <c r="S26" s="244"/>
      <c r="T26" s="244"/>
      <c r="U26" s="244"/>
    </row>
    <row r="27" spans="2:21">
      <c r="B27" s="145" t="str">
        <f t="shared" si="0"/>
        <v/>
      </c>
      <c r="C27" s="496">
        <f>IF(D11="","-",+C26+1)</f>
        <v>2025</v>
      </c>
      <c r="D27" s="509">
        <f>IF(F26+SUM(E$17:E26)=D$10,F26,D$10-SUM(E$17:E26))</f>
        <v>6419904.6841912353</v>
      </c>
      <c r="E27" s="510">
        <f t="shared" si="10"/>
        <v>251032.4705882353</v>
      </c>
      <c r="F27" s="511">
        <f t="shared" si="11"/>
        <v>6168872.2136030002</v>
      </c>
      <c r="G27" s="512">
        <f t="shared" si="12"/>
        <v>920863.34250252624</v>
      </c>
      <c r="H27" s="478">
        <f t="shared" si="13"/>
        <v>920863.34250252624</v>
      </c>
      <c r="I27" s="501">
        <f t="shared" si="6"/>
        <v>0</v>
      </c>
      <c r="J27" s="501"/>
      <c r="K27" s="513"/>
      <c r="L27" s="505">
        <f t="shared" si="14"/>
        <v>0</v>
      </c>
      <c r="M27" s="513"/>
      <c r="N27" s="505">
        <f t="shared" si="4"/>
        <v>0</v>
      </c>
      <c r="O27" s="505">
        <f t="shared" si="5"/>
        <v>0</v>
      </c>
      <c r="P27" s="279"/>
      <c r="R27" s="244"/>
      <c r="S27" s="244"/>
      <c r="T27" s="244"/>
      <c r="U27" s="244"/>
    </row>
    <row r="28" spans="2:21">
      <c r="B28" s="145" t="str">
        <f t="shared" si="0"/>
        <v/>
      </c>
      <c r="C28" s="496">
        <f>IF(D11="","-",+C27+1)</f>
        <v>2026</v>
      </c>
      <c r="D28" s="509">
        <f>IF(F27+SUM(E$17:E27)=D$10,F27,D$10-SUM(E$17:E27))</f>
        <v>6168872.2136030002</v>
      </c>
      <c r="E28" s="510">
        <f t="shared" si="10"/>
        <v>251032.4705882353</v>
      </c>
      <c r="F28" s="511">
        <f t="shared" si="11"/>
        <v>5917839.743014765</v>
      </c>
      <c r="G28" s="512">
        <f t="shared" si="12"/>
        <v>894149.18273655581</v>
      </c>
      <c r="H28" s="478">
        <f t="shared" si="13"/>
        <v>894149.18273655581</v>
      </c>
      <c r="I28" s="501">
        <f t="shared" si="6"/>
        <v>0</v>
      </c>
      <c r="J28" s="501"/>
      <c r="K28" s="513"/>
      <c r="L28" s="505">
        <f t="shared" si="14"/>
        <v>0</v>
      </c>
      <c r="M28" s="513"/>
      <c r="N28" s="505">
        <f t="shared" si="4"/>
        <v>0</v>
      </c>
      <c r="O28" s="505">
        <f t="shared" si="5"/>
        <v>0</v>
      </c>
      <c r="P28" s="279"/>
      <c r="R28" s="244"/>
      <c r="S28" s="244"/>
      <c r="T28" s="244"/>
      <c r="U28" s="244"/>
    </row>
    <row r="29" spans="2:21">
      <c r="B29" s="145" t="str">
        <f t="shared" si="0"/>
        <v/>
      </c>
      <c r="C29" s="496">
        <f>IF(D11="","-",+C28+1)</f>
        <v>2027</v>
      </c>
      <c r="D29" s="509">
        <f>IF(F28+SUM(E$17:E28)=D$10,F28,D$10-SUM(E$17:E28))</f>
        <v>5917839.743014765</v>
      </c>
      <c r="E29" s="510">
        <f t="shared" si="10"/>
        <v>251032.4705882353</v>
      </c>
      <c r="F29" s="511">
        <f t="shared" si="11"/>
        <v>5666807.2724265298</v>
      </c>
      <c r="G29" s="512">
        <f t="shared" si="12"/>
        <v>867435.02297058539</v>
      </c>
      <c r="H29" s="478">
        <f t="shared" si="13"/>
        <v>867435.02297058539</v>
      </c>
      <c r="I29" s="501">
        <f t="shared" si="6"/>
        <v>0</v>
      </c>
      <c r="J29" s="501"/>
      <c r="K29" s="513"/>
      <c r="L29" s="505">
        <f t="shared" si="14"/>
        <v>0</v>
      </c>
      <c r="M29" s="513"/>
      <c r="N29" s="505">
        <f t="shared" si="4"/>
        <v>0</v>
      </c>
      <c r="O29" s="505">
        <f t="shared" si="5"/>
        <v>0</v>
      </c>
      <c r="P29" s="279"/>
      <c r="R29" s="244"/>
      <c r="S29" s="244"/>
      <c r="T29" s="244"/>
      <c r="U29" s="244"/>
    </row>
    <row r="30" spans="2:21">
      <c r="B30" s="145" t="str">
        <f t="shared" si="0"/>
        <v/>
      </c>
      <c r="C30" s="496">
        <f>IF(D11="","-",+C29+1)</f>
        <v>2028</v>
      </c>
      <c r="D30" s="509">
        <f>IF(F29+SUM(E$17:E29)=D$10,F29,D$10-SUM(E$17:E29))</f>
        <v>5666807.2724265298</v>
      </c>
      <c r="E30" s="510">
        <f t="shared" si="10"/>
        <v>251032.4705882353</v>
      </c>
      <c r="F30" s="511">
        <f t="shared" si="11"/>
        <v>5415774.8018382946</v>
      </c>
      <c r="G30" s="512">
        <f t="shared" si="12"/>
        <v>840720.86320461507</v>
      </c>
      <c r="H30" s="478">
        <f t="shared" si="13"/>
        <v>840720.86320461507</v>
      </c>
      <c r="I30" s="501">
        <f t="shared" si="6"/>
        <v>0</v>
      </c>
      <c r="J30" s="501"/>
      <c r="K30" s="513"/>
      <c r="L30" s="505">
        <f t="shared" si="14"/>
        <v>0</v>
      </c>
      <c r="M30" s="513"/>
      <c r="N30" s="505">
        <f t="shared" si="4"/>
        <v>0</v>
      </c>
      <c r="O30" s="505">
        <f t="shared" si="5"/>
        <v>0</v>
      </c>
      <c r="P30" s="279"/>
      <c r="R30" s="244"/>
      <c r="S30" s="244"/>
      <c r="T30" s="244"/>
      <c r="U30" s="244"/>
    </row>
    <row r="31" spans="2:21">
      <c r="B31" s="145" t="str">
        <f>IF(D31=F30,"","IU")</f>
        <v/>
      </c>
      <c r="C31" s="496">
        <f>IF(D11="","-",+C30+1)</f>
        <v>2029</v>
      </c>
      <c r="D31" s="509">
        <f>IF(F30+SUM(E$17:E30)=D$10,F30,D$10-SUM(E$17:E30))</f>
        <v>5415774.8018382946</v>
      </c>
      <c r="E31" s="510">
        <f t="shared" si="10"/>
        <v>251032.4705882353</v>
      </c>
      <c r="F31" s="511">
        <f t="shared" si="11"/>
        <v>5164742.3312500594</v>
      </c>
      <c r="G31" s="512">
        <f t="shared" si="12"/>
        <v>814006.70343864465</v>
      </c>
      <c r="H31" s="478">
        <f t="shared" si="13"/>
        <v>814006.70343864465</v>
      </c>
      <c r="I31" s="501">
        <f t="shared" si="6"/>
        <v>0</v>
      </c>
      <c r="J31" s="501"/>
      <c r="K31" s="513"/>
      <c r="L31" s="505">
        <f t="shared" si="14"/>
        <v>0</v>
      </c>
      <c r="M31" s="513"/>
      <c r="N31" s="505">
        <f t="shared" si="4"/>
        <v>0</v>
      </c>
      <c r="O31" s="505">
        <f t="shared" si="5"/>
        <v>0</v>
      </c>
      <c r="P31" s="279"/>
      <c r="Q31" s="221"/>
      <c r="R31" s="279"/>
      <c r="S31" s="279"/>
      <c r="T31" s="279"/>
      <c r="U31" s="244"/>
    </row>
    <row r="32" spans="2:21">
      <c r="B32" s="145" t="str">
        <f t="shared" ref="B32:B46" si="15">IF(D32=F31,"","IU")</f>
        <v/>
      </c>
      <c r="C32" s="496">
        <f>IF(D12="","-",+C31+1)</f>
        <v>2030</v>
      </c>
      <c r="D32" s="509">
        <f>IF(F31+SUM(E$17:E31)=D$10,F31,D$10-SUM(E$17:E31))</f>
        <v>5164742.3312500594</v>
      </c>
      <c r="E32" s="510">
        <f>IF(+$I$14&lt;F31,$I$14,D32)</f>
        <v>251032.4705882353</v>
      </c>
      <c r="F32" s="511">
        <f>+D32-E32</f>
        <v>4913709.8606618242</v>
      </c>
      <c r="G32" s="512">
        <f t="shared" si="12"/>
        <v>787292.54367267422</v>
      </c>
      <c r="H32" s="478">
        <f t="shared" si="13"/>
        <v>787292.54367267422</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15"/>
        <v/>
      </c>
      <c r="C33" s="496">
        <f>IF(D13="","-",+C32+1)</f>
        <v>2031</v>
      </c>
      <c r="D33" s="509">
        <f>IF(F32+SUM(E$17:E32)=D$10,F32,D$10-SUM(E$17:E32))</f>
        <v>4913709.8606618242</v>
      </c>
      <c r="E33" s="510">
        <f>IF(+$I$14&lt;F32,$I$14,D33)</f>
        <v>251032.4705882353</v>
      </c>
      <c r="F33" s="511">
        <f>+D33-E33</f>
        <v>4662677.390073589</v>
      </c>
      <c r="G33" s="512">
        <f t="shared" si="12"/>
        <v>760578.38390670391</v>
      </c>
      <c r="H33" s="478">
        <f t="shared" si="13"/>
        <v>760578.38390670391</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15"/>
        <v/>
      </c>
      <c r="C34" s="496">
        <f t="shared" ref="C34:C42" si="16">IF(D14="","-",+C33+1)</f>
        <v>2032</v>
      </c>
      <c r="D34" s="515">
        <f>IF(F33+SUM(E$17:E33)=D$10,F33,D$10-SUM(E$17:E33))</f>
        <v>4662677.390073589</v>
      </c>
      <c r="E34" s="516">
        <f t="shared" si="10"/>
        <v>251032.4705882353</v>
      </c>
      <c r="F34" s="517">
        <f t="shared" si="11"/>
        <v>4411644.9194853539</v>
      </c>
      <c r="G34" s="512">
        <f t="shared" si="12"/>
        <v>733864.22414073348</v>
      </c>
      <c r="H34" s="478">
        <f t="shared" si="13"/>
        <v>733864.22414073348</v>
      </c>
      <c r="I34" s="520">
        <f t="shared" si="6"/>
        <v>0</v>
      </c>
      <c r="J34" s="520"/>
      <c r="K34" s="521"/>
      <c r="L34" s="522">
        <f t="shared" si="14"/>
        <v>0</v>
      </c>
      <c r="M34" s="521"/>
      <c r="N34" s="522">
        <f t="shared" si="4"/>
        <v>0</v>
      </c>
      <c r="O34" s="522">
        <f t="shared" si="5"/>
        <v>0</v>
      </c>
      <c r="P34" s="523"/>
      <c r="Q34" s="217"/>
      <c r="R34" s="523"/>
      <c r="S34" s="523"/>
      <c r="T34" s="523"/>
      <c r="U34" s="244"/>
    </row>
    <row r="35" spans="2:21">
      <c r="B35" s="145" t="str">
        <f t="shared" si="15"/>
        <v/>
      </c>
      <c r="C35" s="496">
        <f t="shared" si="16"/>
        <v>2033</v>
      </c>
      <c r="D35" s="509">
        <f>IF(F34+SUM(E$17:E34)=D$10,F34,D$10-SUM(E$17:E34))</f>
        <v>4411644.9194853539</v>
      </c>
      <c r="E35" s="510">
        <f t="shared" si="10"/>
        <v>251032.4705882353</v>
      </c>
      <c r="F35" s="511">
        <f t="shared" si="11"/>
        <v>4160612.4488971187</v>
      </c>
      <c r="G35" s="512">
        <f t="shared" si="12"/>
        <v>707150.06437476305</v>
      </c>
      <c r="H35" s="478">
        <f t="shared" si="13"/>
        <v>707150.06437476305</v>
      </c>
      <c r="I35" s="501">
        <f t="shared" si="6"/>
        <v>0</v>
      </c>
      <c r="J35" s="501"/>
      <c r="K35" s="513"/>
      <c r="L35" s="505">
        <f t="shared" si="14"/>
        <v>0</v>
      </c>
      <c r="M35" s="513"/>
      <c r="N35" s="505">
        <f t="shared" si="4"/>
        <v>0</v>
      </c>
      <c r="O35" s="505">
        <f t="shared" si="5"/>
        <v>0</v>
      </c>
      <c r="P35" s="279"/>
      <c r="R35" s="244"/>
      <c r="S35" s="244"/>
      <c r="T35" s="244"/>
      <c r="U35" s="244"/>
    </row>
    <row r="36" spans="2:21">
      <c r="B36" s="145" t="str">
        <f t="shared" si="15"/>
        <v/>
      </c>
      <c r="C36" s="496">
        <f t="shared" si="16"/>
        <v>2034</v>
      </c>
      <c r="D36" s="509">
        <f>IF(F35+SUM(E$17:E35)=D$10,F35,D$10-SUM(E$17:E35))</f>
        <v>4160612.4488971187</v>
      </c>
      <c r="E36" s="510">
        <f t="shared" si="10"/>
        <v>251032.4705882353</v>
      </c>
      <c r="F36" s="511">
        <f t="shared" si="11"/>
        <v>3909579.9783088835</v>
      </c>
      <c r="G36" s="512">
        <f t="shared" si="12"/>
        <v>680435.90460879263</v>
      </c>
      <c r="H36" s="478">
        <f t="shared" si="13"/>
        <v>680435.90460879263</v>
      </c>
      <c r="I36" s="501">
        <f t="shared" si="6"/>
        <v>0</v>
      </c>
      <c r="J36" s="501"/>
      <c r="K36" s="513"/>
      <c r="L36" s="505">
        <f t="shared" si="14"/>
        <v>0</v>
      </c>
      <c r="M36" s="513"/>
      <c r="N36" s="505">
        <f t="shared" si="4"/>
        <v>0</v>
      </c>
      <c r="O36" s="505">
        <f t="shared" si="5"/>
        <v>0</v>
      </c>
      <c r="P36" s="279"/>
      <c r="R36" s="244"/>
      <c r="S36" s="244"/>
      <c r="T36" s="244"/>
      <c r="U36" s="244"/>
    </row>
    <row r="37" spans="2:21">
      <c r="B37" s="145" t="str">
        <f t="shared" si="15"/>
        <v/>
      </c>
      <c r="C37" s="496">
        <f t="shared" si="16"/>
        <v>2035</v>
      </c>
      <c r="D37" s="509">
        <f>IF(F36+SUM(E$17:E36)=D$10,F36,D$10-SUM(E$17:E36))</f>
        <v>3909579.9783088835</v>
      </c>
      <c r="E37" s="510">
        <f t="shared" si="10"/>
        <v>251032.4705882353</v>
      </c>
      <c r="F37" s="511">
        <f t="shared" si="11"/>
        <v>3658547.5077206483</v>
      </c>
      <c r="G37" s="512">
        <f t="shared" si="12"/>
        <v>653721.74484282231</v>
      </c>
      <c r="H37" s="478">
        <f t="shared" si="13"/>
        <v>653721.74484282231</v>
      </c>
      <c r="I37" s="501">
        <f t="shared" si="6"/>
        <v>0</v>
      </c>
      <c r="J37" s="501"/>
      <c r="K37" s="513"/>
      <c r="L37" s="505">
        <f t="shared" si="14"/>
        <v>0</v>
      </c>
      <c r="M37" s="513"/>
      <c r="N37" s="505">
        <f t="shared" si="4"/>
        <v>0</v>
      </c>
      <c r="O37" s="505">
        <f t="shared" si="5"/>
        <v>0</v>
      </c>
      <c r="P37" s="279"/>
      <c r="R37" s="244"/>
      <c r="S37" s="244"/>
      <c r="T37" s="244"/>
      <c r="U37" s="244"/>
    </row>
    <row r="38" spans="2:21">
      <c r="B38" s="145" t="str">
        <f t="shared" si="15"/>
        <v/>
      </c>
      <c r="C38" s="496">
        <f t="shared" si="16"/>
        <v>2036</v>
      </c>
      <c r="D38" s="509">
        <f>IF(F37+SUM(E$17:E37)=D$10,F37,D$10-SUM(E$17:E37))</f>
        <v>3658547.5077206483</v>
      </c>
      <c r="E38" s="510">
        <f t="shared" si="10"/>
        <v>251032.4705882353</v>
      </c>
      <c r="F38" s="511">
        <f t="shared" si="11"/>
        <v>3407515.0371324131</v>
      </c>
      <c r="G38" s="512">
        <f t="shared" si="12"/>
        <v>627007.58507685189</v>
      </c>
      <c r="H38" s="478">
        <f t="shared" si="13"/>
        <v>627007.58507685189</v>
      </c>
      <c r="I38" s="501">
        <f t="shared" si="6"/>
        <v>0</v>
      </c>
      <c r="J38" s="501"/>
      <c r="K38" s="513"/>
      <c r="L38" s="505">
        <f t="shared" si="14"/>
        <v>0</v>
      </c>
      <c r="M38" s="513"/>
      <c r="N38" s="505">
        <f t="shared" si="4"/>
        <v>0</v>
      </c>
      <c r="O38" s="505">
        <f t="shared" si="5"/>
        <v>0</v>
      </c>
      <c r="P38" s="279"/>
      <c r="R38" s="244"/>
      <c r="S38" s="244"/>
      <c r="T38" s="244"/>
      <c r="U38" s="244"/>
    </row>
    <row r="39" spans="2:21">
      <c r="B39" s="145" t="str">
        <f t="shared" si="15"/>
        <v/>
      </c>
      <c r="C39" s="496">
        <f t="shared" si="16"/>
        <v>2037</v>
      </c>
      <c r="D39" s="509">
        <f>IF(F38+SUM(E$17:E38)=D$10,F38,D$10-SUM(E$17:E38))</f>
        <v>3407515.0371324131</v>
      </c>
      <c r="E39" s="510">
        <f t="shared" si="10"/>
        <v>251032.4705882353</v>
      </c>
      <c r="F39" s="511">
        <f t="shared" si="11"/>
        <v>3156482.5665441779</v>
      </c>
      <c r="G39" s="512">
        <f t="shared" si="12"/>
        <v>600293.42531088158</v>
      </c>
      <c r="H39" s="478">
        <f t="shared" si="13"/>
        <v>600293.42531088158</v>
      </c>
      <c r="I39" s="501">
        <f t="shared" si="6"/>
        <v>0</v>
      </c>
      <c r="J39" s="501"/>
      <c r="K39" s="513"/>
      <c r="L39" s="505">
        <f t="shared" si="14"/>
        <v>0</v>
      </c>
      <c r="M39" s="513"/>
      <c r="N39" s="505">
        <f t="shared" si="4"/>
        <v>0</v>
      </c>
      <c r="O39" s="505">
        <f t="shared" si="5"/>
        <v>0</v>
      </c>
      <c r="P39" s="279"/>
      <c r="R39" s="244"/>
      <c r="S39" s="244"/>
      <c r="T39" s="244"/>
      <c r="U39" s="244"/>
    </row>
    <row r="40" spans="2:21">
      <c r="B40" s="145" t="str">
        <f t="shared" si="15"/>
        <v/>
      </c>
      <c r="C40" s="496">
        <f t="shared" si="16"/>
        <v>2038</v>
      </c>
      <c r="D40" s="509">
        <f>IF(F39+SUM(E$17:E39)=D$10,F39,D$10-SUM(E$17:E39))</f>
        <v>3156482.5665441779</v>
      </c>
      <c r="E40" s="510">
        <f t="shared" si="10"/>
        <v>251032.4705882353</v>
      </c>
      <c r="F40" s="511">
        <f t="shared" si="11"/>
        <v>2905450.0959559428</v>
      </c>
      <c r="G40" s="512">
        <f t="shared" si="12"/>
        <v>573579.26554491115</v>
      </c>
      <c r="H40" s="478">
        <f t="shared" si="13"/>
        <v>573579.26554491115</v>
      </c>
      <c r="I40" s="501">
        <f t="shared" si="6"/>
        <v>0</v>
      </c>
      <c r="J40" s="501"/>
      <c r="K40" s="513"/>
      <c r="L40" s="505">
        <f t="shared" si="14"/>
        <v>0</v>
      </c>
      <c r="M40" s="513"/>
      <c r="N40" s="505">
        <f t="shared" si="4"/>
        <v>0</v>
      </c>
      <c r="O40" s="505">
        <f t="shared" si="5"/>
        <v>0</v>
      </c>
      <c r="P40" s="279"/>
      <c r="R40" s="244"/>
      <c r="S40" s="244"/>
      <c r="T40" s="244"/>
      <c r="U40" s="244"/>
    </row>
    <row r="41" spans="2:21">
      <c r="B41" s="145" t="str">
        <f t="shared" si="15"/>
        <v/>
      </c>
      <c r="C41" s="496">
        <f t="shared" si="16"/>
        <v>2039</v>
      </c>
      <c r="D41" s="509">
        <f>IF(F40+SUM(E$17:E40)=D$10,F40,D$10-SUM(E$17:E40))</f>
        <v>2905450.0959559428</v>
      </c>
      <c r="E41" s="510">
        <f t="shared" si="10"/>
        <v>251032.4705882353</v>
      </c>
      <c r="F41" s="511">
        <f t="shared" si="11"/>
        <v>2654417.6253677076</v>
      </c>
      <c r="G41" s="512">
        <f t="shared" si="12"/>
        <v>546865.10577894072</v>
      </c>
      <c r="H41" s="478">
        <f t="shared" si="13"/>
        <v>546865.10577894072</v>
      </c>
      <c r="I41" s="501">
        <f t="shared" si="6"/>
        <v>0</v>
      </c>
      <c r="J41" s="501"/>
      <c r="K41" s="513"/>
      <c r="L41" s="505">
        <f t="shared" si="14"/>
        <v>0</v>
      </c>
      <c r="M41" s="513"/>
      <c r="N41" s="505">
        <f t="shared" si="4"/>
        <v>0</v>
      </c>
      <c r="O41" s="505">
        <f t="shared" si="5"/>
        <v>0</v>
      </c>
      <c r="P41" s="279"/>
      <c r="R41" s="244"/>
      <c r="S41" s="244"/>
      <c r="T41" s="244"/>
      <c r="U41" s="244"/>
    </row>
    <row r="42" spans="2:21">
      <c r="B42" s="145" t="str">
        <f t="shared" si="15"/>
        <v/>
      </c>
      <c r="C42" s="496">
        <f t="shared" si="16"/>
        <v>2040</v>
      </c>
      <c r="D42" s="509">
        <f>IF(F41+SUM(E$17:E41)=D$10,F41,D$10-SUM(E$17:E41))</f>
        <v>2654417.6253677076</v>
      </c>
      <c r="E42" s="510">
        <f t="shared" si="10"/>
        <v>251032.4705882353</v>
      </c>
      <c r="F42" s="511">
        <f t="shared" si="11"/>
        <v>2403385.1547794724</v>
      </c>
      <c r="G42" s="512">
        <f t="shared" si="12"/>
        <v>520150.94601297035</v>
      </c>
      <c r="H42" s="478">
        <f t="shared" si="13"/>
        <v>520150.94601297035</v>
      </c>
      <c r="I42" s="501">
        <f t="shared" si="6"/>
        <v>0</v>
      </c>
      <c r="J42" s="501"/>
      <c r="K42" s="513"/>
      <c r="L42" s="505">
        <f t="shared" si="14"/>
        <v>0</v>
      </c>
      <c r="M42" s="513"/>
      <c r="N42" s="505">
        <f t="shared" si="4"/>
        <v>0</v>
      </c>
      <c r="O42" s="505">
        <f t="shared" si="5"/>
        <v>0</v>
      </c>
      <c r="P42" s="279"/>
      <c r="R42" s="244"/>
      <c r="S42" s="244"/>
      <c r="T42" s="244"/>
      <c r="U42" s="244"/>
    </row>
    <row r="43" spans="2:21">
      <c r="B43" s="145" t="str">
        <f t="shared" si="15"/>
        <v/>
      </c>
      <c r="C43" s="496">
        <f>IF(D11="","-",+C42+1)</f>
        <v>2041</v>
      </c>
      <c r="D43" s="509">
        <f>IF(F42+SUM(E$17:E42)=D$10,F42,D$10-SUM(E$17:E42))</f>
        <v>2403385.1547794724</v>
      </c>
      <c r="E43" s="510">
        <f t="shared" si="10"/>
        <v>251032.4705882353</v>
      </c>
      <c r="F43" s="511">
        <f t="shared" si="11"/>
        <v>2152352.6841912372</v>
      </c>
      <c r="G43" s="512">
        <f t="shared" si="12"/>
        <v>493436.78624699998</v>
      </c>
      <c r="H43" s="478">
        <f t="shared" si="13"/>
        <v>493436.78624699998</v>
      </c>
      <c r="I43" s="501">
        <f t="shared" si="6"/>
        <v>0</v>
      </c>
      <c r="J43" s="501"/>
      <c r="K43" s="513"/>
      <c r="L43" s="505">
        <f t="shared" si="14"/>
        <v>0</v>
      </c>
      <c r="M43" s="513"/>
      <c r="N43" s="505">
        <f t="shared" si="4"/>
        <v>0</v>
      </c>
      <c r="O43" s="505">
        <f t="shared" si="5"/>
        <v>0</v>
      </c>
      <c r="P43" s="279"/>
      <c r="R43" s="244"/>
      <c r="S43" s="244"/>
      <c r="T43" s="244"/>
      <c r="U43" s="244"/>
    </row>
    <row r="44" spans="2:21">
      <c r="B44" s="145" t="str">
        <f t="shared" si="15"/>
        <v/>
      </c>
      <c r="C44" s="496">
        <f>IF(D11="","-",+C43+1)</f>
        <v>2042</v>
      </c>
      <c r="D44" s="509">
        <f>IF(F43+SUM(E$17:E43)=D$10,F43,D$10-SUM(E$17:E43))</f>
        <v>2152352.6841912372</v>
      </c>
      <c r="E44" s="510">
        <f t="shared" si="10"/>
        <v>251032.4705882353</v>
      </c>
      <c r="F44" s="511">
        <f t="shared" si="11"/>
        <v>1901320.213603002</v>
      </c>
      <c r="G44" s="512">
        <f t="shared" si="12"/>
        <v>466722.62648102955</v>
      </c>
      <c r="H44" s="478">
        <f t="shared" si="13"/>
        <v>466722.62648102955</v>
      </c>
      <c r="I44" s="501">
        <f t="shared" si="6"/>
        <v>0</v>
      </c>
      <c r="J44" s="501"/>
      <c r="K44" s="513"/>
      <c r="L44" s="505">
        <f t="shared" si="14"/>
        <v>0</v>
      </c>
      <c r="M44" s="513"/>
      <c r="N44" s="505">
        <f t="shared" si="4"/>
        <v>0</v>
      </c>
      <c r="O44" s="505">
        <f t="shared" si="5"/>
        <v>0</v>
      </c>
      <c r="P44" s="279"/>
      <c r="R44" s="244"/>
      <c r="S44" s="244"/>
      <c r="T44" s="244"/>
      <c r="U44" s="244"/>
    </row>
    <row r="45" spans="2:21">
      <c r="B45" s="145" t="str">
        <f t="shared" si="15"/>
        <v/>
      </c>
      <c r="C45" s="496">
        <f>IF(D11="","-",+C44+1)</f>
        <v>2043</v>
      </c>
      <c r="D45" s="509">
        <f>IF(F44+SUM(E$17:E44)=D$10,F44,D$10-SUM(E$17:E44))</f>
        <v>1901320.213603002</v>
      </c>
      <c r="E45" s="510">
        <f t="shared" si="10"/>
        <v>251032.4705882353</v>
      </c>
      <c r="F45" s="511">
        <f t="shared" si="11"/>
        <v>1650287.7430147668</v>
      </c>
      <c r="G45" s="512">
        <f t="shared" si="12"/>
        <v>440008.46671505913</v>
      </c>
      <c r="H45" s="478">
        <f t="shared" si="13"/>
        <v>440008.46671505913</v>
      </c>
      <c r="I45" s="501">
        <f t="shared" si="6"/>
        <v>0</v>
      </c>
      <c r="J45" s="501"/>
      <c r="K45" s="513"/>
      <c r="L45" s="505">
        <f t="shared" si="14"/>
        <v>0</v>
      </c>
      <c r="M45" s="513"/>
      <c r="N45" s="505">
        <f t="shared" si="4"/>
        <v>0</v>
      </c>
      <c r="O45" s="505">
        <f t="shared" si="5"/>
        <v>0</v>
      </c>
      <c r="P45" s="279"/>
      <c r="R45" s="244"/>
      <c r="S45" s="244"/>
      <c r="T45" s="244"/>
      <c r="U45" s="244"/>
    </row>
    <row r="46" spans="2:21">
      <c r="B46" s="145" t="str">
        <f t="shared" si="15"/>
        <v/>
      </c>
      <c r="C46" s="496">
        <f>IF(D11="","-",+C45+1)</f>
        <v>2044</v>
      </c>
      <c r="D46" s="509">
        <f>IF(F45+SUM(E$17:E45)=D$10,F45,D$10-SUM(E$17:E45))</f>
        <v>1650287.7430147668</v>
      </c>
      <c r="E46" s="510">
        <f t="shared" si="10"/>
        <v>251032.4705882353</v>
      </c>
      <c r="F46" s="511">
        <f t="shared" si="11"/>
        <v>1399255.2724265317</v>
      </c>
      <c r="G46" s="512">
        <f t="shared" si="12"/>
        <v>413294.30694908882</v>
      </c>
      <c r="H46" s="478">
        <f t="shared" si="13"/>
        <v>413294.30694908882</v>
      </c>
      <c r="I46" s="501">
        <f t="shared" si="6"/>
        <v>0</v>
      </c>
      <c r="J46" s="501"/>
      <c r="K46" s="513"/>
      <c r="L46" s="505">
        <f t="shared" si="14"/>
        <v>0</v>
      </c>
      <c r="M46" s="513"/>
      <c r="N46" s="505">
        <f t="shared" si="4"/>
        <v>0</v>
      </c>
      <c r="O46" s="505">
        <f t="shared" si="5"/>
        <v>0</v>
      </c>
      <c r="P46" s="279"/>
      <c r="R46" s="244"/>
      <c r="S46" s="244"/>
      <c r="T46" s="244"/>
      <c r="U46" s="244"/>
    </row>
    <row r="47" spans="2:21">
      <c r="B47" s="145" t="str">
        <f t="shared" si="0"/>
        <v/>
      </c>
      <c r="C47" s="496">
        <f>IF(D11="","-",+C46+1)</f>
        <v>2045</v>
      </c>
      <c r="D47" s="509">
        <f>IF(F46+SUM(E$17:E46)=D$10,F46,D$10-SUM(E$17:E46))</f>
        <v>1399255.2724265317</v>
      </c>
      <c r="E47" s="510">
        <f t="shared" si="10"/>
        <v>251032.4705882353</v>
      </c>
      <c r="F47" s="511">
        <f t="shared" si="11"/>
        <v>1148222.8018382965</v>
      </c>
      <c r="G47" s="512">
        <f t="shared" si="12"/>
        <v>386580.14718311839</v>
      </c>
      <c r="H47" s="478">
        <f t="shared" si="13"/>
        <v>386580.14718311839</v>
      </c>
      <c r="I47" s="501">
        <f t="shared" si="6"/>
        <v>0</v>
      </c>
      <c r="J47" s="501"/>
      <c r="K47" s="513"/>
      <c r="L47" s="505">
        <f t="shared" si="14"/>
        <v>0</v>
      </c>
      <c r="M47" s="513"/>
      <c r="N47" s="505">
        <f t="shared" si="4"/>
        <v>0</v>
      </c>
      <c r="O47" s="505">
        <f t="shared" si="5"/>
        <v>0</v>
      </c>
      <c r="P47" s="279"/>
      <c r="R47" s="244"/>
      <c r="S47" s="244"/>
      <c r="T47" s="244"/>
      <c r="U47" s="244"/>
    </row>
    <row r="48" spans="2:21">
      <c r="B48" s="145" t="str">
        <f t="shared" si="0"/>
        <v/>
      </c>
      <c r="C48" s="496">
        <f>IF(D11="","-",+C47+1)</f>
        <v>2046</v>
      </c>
      <c r="D48" s="509">
        <f>IF(F47+SUM(E$17:E47)=D$10,F47,D$10-SUM(E$17:E47))</f>
        <v>1148222.8018382965</v>
      </c>
      <c r="E48" s="510">
        <f t="shared" si="10"/>
        <v>251032.4705882353</v>
      </c>
      <c r="F48" s="511">
        <f t="shared" si="11"/>
        <v>897190.33125006116</v>
      </c>
      <c r="G48" s="512">
        <f t="shared" si="12"/>
        <v>359865.98741714796</v>
      </c>
      <c r="H48" s="478">
        <f t="shared" si="13"/>
        <v>359865.98741714796</v>
      </c>
      <c r="I48" s="501">
        <f t="shared" si="6"/>
        <v>0</v>
      </c>
      <c r="J48" s="501"/>
      <c r="K48" s="513"/>
      <c r="L48" s="505">
        <f t="shared" si="14"/>
        <v>0</v>
      </c>
      <c r="M48" s="513"/>
      <c r="N48" s="505">
        <f t="shared" si="4"/>
        <v>0</v>
      </c>
      <c r="O48" s="505">
        <f t="shared" si="5"/>
        <v>0</v>
      </c>
      <c r="P48" s="279"/>
      <c r="R48" s="244"/>
      <c r="S48" s="244"/>
      <c r="T48" s="244"/>
      <c r="U48" s="244"/>
    </row>
    <row r="49" spans="2:21">
      <c r="B49" s="145" t="str">
        <f t="shared" si="0"/>
        <v/>
      </c>
      <c r="C49" s="496">
        <f>IF(D11="","-",+C48+1)</f>
        <v>2047</v>
      </c>
      <c r="D49" s="509">
        <f>IF(F48+SUM(E$17:E48)=D$10,F48,D$10-SUM(E$17:E48))</f>
        <v>897190.33125006116</v>
      </c>
      <c r="E49" s="510">
        <f t="shared" si="10"/>
        <v>251032.4705882353</v>
      </c>
      <c r="F49" s="511">
        <f t="shared" si="11"/>
        <v>646157.86066182586</v>
      </c>
      <c r="G49" s="512">
        <f t="shared" si="12"/>
        <v>333151.82765117759</v>
      </c>
      <c r="H49" s="478">
        <f t="shared" si="13"/>
        <v>333151.82765117759</v>
      </c>
      <c r="I49" s="501">
        <f t="shared" si="6"/>
        <v>0</v>
      </c>
      <c r="J49" s="501"/>
      <c r="K49" s="513"/>
      <c r="L49" s="505">
        <f t="shared" si="14"/>
        <v>0</v>
      </c>
      <c r="M49" s="513"/>
      <c r="N49" s="505">
        <f t="shared" si="4"/>
        <v>0</v>
      </c>
      <c r="O49" s="505">
        <f t="shared" si="5"/>
        <v>0</v>
      </c>
      <c r="P49" s="279"/>
      <c r="R49" s="244"/>
      <c r="S49" s="244"/>
      <c r="T49" s="244"/>
      <c r="U49" s="244"/>
    </row>
    <row r="50" spans="2:21">
      <c r="B50" s="145" t="str">
        <f t="shared" si="0"/>
        <v/>
      </c>
      <c r="C50" s="496">
        <f>IF(D11="","-",+C49+1)</f>
        <v>2048</v>
      </c>
      <c r="D50" s="509">
        <f>IF(F49+SUM(E$17:E49)=D$10,F49,D$10-SUM(E$17:E49))</f>
        <v>646157.86066182586</v>
      </c>
      <c r="E50" s="510">
        <f t="shared" si="10"/>
        <v>251032.4705882353</v>
      </c>
      <c r="F50" s="511">
        <f t="shared" si="11"/>
        <v>395125.39007359056</v>
      </c>
      <c r="G50" s="512">
        <f t="shared" si="12"/>
        <v>306437.66788520716</v>
      </c>
      <c r="H50" s="478">
        <f t="shared" si="13"/>
        <v>306437.66788520716</v>
      </c>
      <c r="I50" s="501">
        <f t="shared" si="6"/>
        <v>0</v>
      </c>
      <c r="J50" s="501"/>
      <c r="K50" s="513"/>
      <c r="L50" s="505">
        <f t="shared" si="14"/>
        <v>0</v>
      </c>
      <c r="M50" s="513"/>
      <c r="N50" s="505">
        <f t="shared" si="4"/>
        <v>0</v>
      </c>
      <c r="O50" s="505">
        <f t="shared" si="5"/>
        <v>0</v>
      </c>
      <c r="P50" s="279"/>
      <c r="R50" s="244"/>
      <c r="S50" s="244"/>
      <c r="T50" s="244"/>
      <c r="U50" s="244"/>
    </row>
    <row r="51" spans="2:21">
      <c r="B51" s="145" t="str">
        <f t="shared" si="0"/>
        <v/>
      </c>
      <c r="C51" s="496">
        <f>IF(D11="","-",+C50+1)</f>
        <v>2049</v>
      </c>
      <c r="D51" s="509">
        <f>IF(F50+SUM(E$17:E50)=D$10,F50,D$10-SUM(E$17:E50))</f>
        <v>395125.39007359056</v>
      </c>
      <c r="E51" s="510">
        <f t="shared" si="10"/>
        <v>251032.4705882353</v>
      </c>
      <c r="F51" s="511">
        <f t="shared" si="11"/>
        <v>144092.91948535526</v>
      </c>
      <c r="G51" s="512">
        <f t="shared" si="12"/>
        <v>279723.50811923679</v>
      </c>
      <c r="H51" s="478">
        <f t="shared" si="13"/>
        <v>279723.50811923679</v>
      </c>
      <c r="I51" s="501">
        <f t="shared" si="6"/>
        <v>0</v>
      </c>
      <c r="J51" s="501"/>
      <c r="K51" s="513"/>
      <c r="L51" s="505">
        <f t="shared" si="14"/>
        <v>0</v>
      </c>
      <c r="M51" s="513"/>
      <c r="N51" s="505">
        <f t="shared" si="4"/>
        <v>0</v>
      </c>
      <c r="O51" s="505">
        <f t="shared" si="5"/>
        <v>0</v>
      </c>
      <c r="P51" s="279"/>
      <c r="R51" s="244"/>
      <c r="S51" s="244"/>
      <c r="T51" s="244"/>
      <c r="U51" s="244"/>
    </row>
    <row r="52" spans="2:21">
      <c r="B52" s="145" t="str">
        <f t="shared" si="0"/>
        <v/>
      </c>
      <c r="C52" s="496">
        <f>IF(D11="","-",+C51+1)</f>
        <v>2050</v>
      </c>
      <c r="D52" s="509">
        <f>IF(F51+SUM(E$17:E51)=D$10,F51,D$10-SUM(E$17:E51))</f>
        <v>144092.91948535526</v>
      </c>
      <c r="E52" s="510">
        <f t="shared" si="10"/>
        <v>144092.91948535526</v>
      </c>
      <c r="F52" s="511">
        <f t="shared" si="11"/>
        <v>0</v>
      </c>
      <c r="G52" s="512">
        <f t="shared" si="12"/>
        <v>151759.8983093634</v>
      </c>
      <c r="H52" s="478">
        <f t="shared" si="13"/>
        <v>151759.8983093634</v>
      </c>
      <c r="I52" s="501">
        <f t="shared" si="6"/>
        <v>0</v>
      </c>
      <c r="J52" s="501"/>
      <c r="K52" s="513"/>
      <c r="L52" s="505">
        <f t="shared" si="14"/>
        <v>0</v>
      </c>
      <c r="M52" s="513"/>
      <c r="N52" s="505">
        <f t="shared" si="4"/>
        <v>0</v>
      </c>
      <c r="O52" s="505">
        <f t="shared" si="5"/>
        <v>0</v>
      </c>
      <c r="P52" s="279"/>
      <c r="R52" s="244"/>
      <c r="S52" s="244"/>
      <c r="T52" s="244"/>
      <c r="U52" s="244"/>
    </row>
    <row r="53" spans="2:21">
      <c r="B53" s="145" t="str">
        <f t="shared" si="0"/>
        <v/>
      </c>
      <c r="C53" s="496">
        <f>IF(D11="","-",+C52+1)</f>
        <v>2051</v>
      </c>
      <c r="D53" s="509">
        <f>IF(F52+SUM(E$17:E52)=D$10,F52,D$10-SUM(E$17:E52))</f>
        <v>0</v>
      </c>
      <c r="E53" s="510">
        <f t="shared" si="10"/>
        <v>0</v>
      </c>
      <c r="F53" s="511">
        <f t="shared" si="11"/>
        <v>0</v>
      </c>
      <c r="G53" s="512">
        <f t="shared" si="12"/>
        <v>0</v>
      </c>
      <c r="H53" s="478">
        <f t="shared" si="13"/>
        <v>0</v>
      </c>
      <c r="I53" s="501">
        <f t="shared" si="6"/>
        <v>0</v>
      </c>
      <c r="J53" s="501"/>
      <c r="K53" s="513"/>
      <c r="L53" s="505">
        <f t="shared" si="14"/>
        <v>0</v>
      </c>
      <c r="M53" s="513"/>
      <c r="N53" s="505">
        <f t="shared" si="4"/>
        <v>0</v>
      </c>
      <c r="O53" s="505">
        <f t="shared" si="5"/>
        <v>0</v>
      </c>
      <c r="P53" s="279"/>
      <c r="R53" s="244"/>
      <c r="S53" s="244"/>
      <c r="T53" s="244"/>
      <c r="U53" s="244"/>
    </row>
    <row r="54" spans="2:21">
      <c r="B54" s="145" t="str">
        <f t="shared" si="0"/>
        <v/>
      </c>
      <c r="C54" s="496">
        <f>IF(D11="","-",+C53+1)</f>
        <v>2052</v>
      </c>
      <c r="D54" s="509">
        <f>IF(F53+SUM(E$17:E53)=D$10,F53,D$10-SUM(E$17:E53))</f>
        <v>0</v>
      </c>
      <c r="E54" s="510">
        <f t="shared" si="10"/>
        <v>0</v>
      </c>
      <c r="F54" s="511">
        <f t="shared" si="11"/>
        <v>0</v>
      </c>
      <c r="G54" s="512">
        <f t="shared" si="12"/>
        <v>0</v>
      </c>
      <c r="H54" s="478">
        <f t="shared" si="13"/>
        <v>0</v>
      </c>
      <c r="I54" s="501">
        <f t="shared" si="6"/>
        <v>0</v>
      </c>
      <c r="J54" s="501"/>
      <c r="K54" s="513"/>
      <c r="L54" s="505">
        <f t="shared" si="14"/>
        <v>0</v>
      </c>
      <c r="M54" s="513"/>
      <c r="N54" s="505">
        <f t="shared" si="4"/>
        <v>0</v>
      </c>
      <c r="O54" s="505">
        <f t="shared" si="5"/>
        <v>0</v>
      </c>
      <c r="P54" s="279"/>
      <c r="R54" s="244"/>
      <c r="S54" s="244"/>
      <c r="T54" s="244"/>
      <c r="U54" s="244"/>
    </row>
    <row r="55" spans="2:21">
      <c r="B55" s="145" t="str">
        <f t="shared" si="0"/>
        <v/>
      </c>
      <c r="C55" s="496">
        <f>IF(D11="","-",+C54+1)</f>
        <v>2053</v>
      </c>
      <c r="D55" s="509">
        <f>IF(F54+SUM(E$17:E54)=D$10,F54,D$10-SUM(E$17:E54))</f>
        <v>0</v>
      </c>
      <c r="E55" s="510">
        <f t="shared" si="10"/>
        <v>0</v>
      </c>
      <c r="F55" s="511">
        <f t="shared" si="11"/>
        <v>0</v>
      </c>
      <c r="G55" s="512">
        <f t="shared" si="12"/>
        <v>0</v>
      </c>
      <c r="H55" s="478">
        <f t="shared" si="13"/>
        <v>0</v>
      </c>
      <c r="I55" s="501">
        <f t="shared" si="6"/>
        <v>0</v>
      </c>
      <c r="J55" s="501"/>
      <c r="K55" s="513"/>
      <c r="L55" s="505">
        <f t="shared" si="14"/>
        <v>0</v>
      </c>
      <c r="M55" s="513"/>
      <c r="N55" s="505">
        <f t="shared" si="4"/>
        <v>0</v>
      </c>
      <c r="O55" s="505">
        <f t="shared" si="5"/>
        <v>0</v>
      </c>
      <c r="P55" s="279"/>
      <c r="R55" s="244"/>
      <c r="S55" s="244"/>
      <c r="T55" s="244"/>
      <c r="U55" s="244"/>
    </row>
    <row r="56" spans="2:21">
      <c r="B56" s="145" t="str">
        <f t="shared" si="0"/>
        <v/>
      </c>
      <c r="C56" s="496">
        <f>IF(D11="","-",+C55+1)</f>
        <v>2054</v>
      </c>
      <c r="D56" s="509">
        <f>IF(F55+SUM(E$17:E55)=D$10,F55,D$10-SUM(E$17:E55))</f>
        <v>0</v>
      </c>
      <c r="E56" s="510">
        <f t="shared" si="10"/>
        <v>0</v>
      </c>
      <c r="F56" s="511">
        <f t="shared" si="11"/>
        <v>0</v>
      </c>
      <c r="G56" s="512">
        <f t="shared" si="12"/>
        <v>0</v>
      </c>
      <c r="H56" s="478">
        <f t="shared" si="13"/>
        <v>0</v>
      </c>
      <c r="I56" s="501">
        <f t="shared" si="6"/>
        <v>0</v>
      </c>
      <c r="J56" s="501"/>
      <c r="K56" s="513"/>
      <c r="L56" s="505">
        <f t="shared" si="14"/>
        <v>0</v>
      </c>
      <c r="M56" s="513"/>
      <c r="N56" s="505">
        <f t="shared" si="4"/>
        <v>0</v>
      </c>
      <c r="O56" s="505">
        <f t="shared" si="5"/>
        <v>0</v>
      </c>
      <c r="P56" s="279"/>
      <c r="R56" s="244"/>
      <c r="S56" s="244"/>
      <c r="T56" s="244"/>
      <c r="U56" s="244"/>
    </row>
    <row r="57" spans="2:21">
      <c r="B57" s="145" t="str">
        <f t="shared" si="0"/>
        <v/>
      </c>
      <c r="C57" s="496">
        <f>IF(D11="","-",+C56+1)</f>
        <v>2055</v>
      </c>
      <c r="D57" s="509">
        <f>IF(F56+SUM(E$17:E56)=D$10,F56,D$10-SUM(E$17:E56))</f>
        <v>0</v>
      </c>
      <c r="E57" s="510">
        <f t="shared" si="10"/>
        <v>0</v>
      </c>
      <c r="F57" s="511">
        <f t="shared" si="11"/>
        <v>0</v>
      </c>
      <c r="G57" s="512">
        <f t="shared" si="12"/>
        <v>0</v>
      </c>
      <c r="H57" s="478">
        <f t="shared" si="13"/>
        <v>0</v>
      </c>
      <c r="I57" s="501">
        <f t="shared" si="6"/>
        <v>0</v>
      </c>
      <c r="J57" s="501"/>
      <c r="K57" s="513"/>
      <c r="L57" s="505">
        <f t="shared" si="14"/>
        <v>0</v>
      </c>
      <c r="M57" s="513"/>
      <c r="N57" s="505">
        <f t="shared" si="4"/>
        <v>0</v>
      </c>
      <c r="O57" s="505">
        <f t="shared" si="5"/>
        <v>0</v>
      </c>
      <c r="P57" s="279"/>
      <c r="R57" s="244"/>
      <c r="S57" s="244"/>
      <c r="T57" s="244"/>
      <c r="U57" s="244"/>
    </row>
    <row r="58" spans="2:21">
      <c r="B58" s="145" t="str">
        <f t="shared" si="0"/>
        <v/>
      </c>
      <c r="C58" s="496">
        <f>IF(D11="","-",+C57+1)</f>
        <v>2056</v>
      </c>
      <c r="D58" s="509">
        <f>IF(F57+SUM(E$17:E57)=D$10,F57,D$10-SUM(E$17:E57))</f>
        <v>0</v>
      </c>
      <c r="E58" s="510">
        <f t="shared" si="10"/>
        <v>0</v>
      </c>
      <c r="F58" s="511">
        <f t="shared" si="11"/>
        <v>0</v>
      </c>
      <c r="G58" s="512">
        <f t="shared" si="12"/>
        <v>0</v>
      </c>
      <c r="H58" s="478">
        <f t="shared" si="13"/>
        <v>0</v>
      </c>
      <c r="I58" s="501">
        <f t="shared" si="6"/>
        <v>0</v>
      </c>
      <c r="J58" s="501"/>
      <c r="K58" s="513"/>
      <c r="L58" s="505">
        <f t="shared" si="14"/>
        <v>0</v>
      </c>
      <c r="M58" s="513"/>
      <c r="N58" s="505">
        <f t="shared" si="4"/>
        <v>0</v>
      </c>
      <c r="O58" s="505">
        <f t="shared" si="5"/>
        <v>0</v>
      </c>
      <c r="P58" s="279"/>
      <c r="R58" s="244"/>
      <c r="S58" s="244"/>
      <c r="T58" s="244"/>
      <c r="U58" s="244"/>
    </row>
    <row r="59" spans="2:21">
      <c r="B59" s="145" t="str">
        <f t="shared" si="0"/>
        <v/>
      </c>
      <c r="C59" s="496">
        <f>IF(D11="","-",+C58+1)</f>
        <v>2057</v>
      </c>
      <c r="D59" s="509">
        <f>IF(F58+SUM(E$17:E58)=D$10,F58,D$10-SUM(E$17:E58))</f>
        <v>0</v>
      </c>
      <c r="E59" s="510">
        <f t="shared" si="10"/>
        <v>0</v>
      </c>
      <c r="F59" s="511">
        <f t="shared" si="11"/>
        <v>0</v>
      </c>
      <c r="G59" s="512">
        <f t="shared" si="12"/>
        <v>0</v>
      </c>
      <c r="H59" s="478">
        <f t="shared" si="13"/>
        <v>0</v>
      </c>
      <c r="I59" s="501">
        <f t="shared" si="6"/>
        <v>0</v>
      </c>
      <c r="J59" s="501"/>
      <c r="K59" s="513"/>
      <c r="L59" s="505">
        <f t="shared" si="14"/>
        <v>0</v>
      </c>
      <c r="M59" s="513"/>
      <c r="N59" s="505">
        <f t="shared" si="4"/>
        <v>0</v>
      </c>
      <c r="O59" s="505">
        <f t="shared" si="5"/>
        <v>0</v>
      </c>
      <c r="P59" s="279"/>
      <c r="R59" s="244"/>
      <c r="S59" s="244"/>
      <c r="T59" s="244"/>
      <c r="U59" s="244"/>
    </row>
    <row r="60" spans="2:21">
      <c r="B60" s="145" t="str">
        <f t="shared" si="0"/>
        <v/>
      </c>
      <c r="C60" s="496">
        <f>IF(D11="","-",+C59+1)</f>
        <v>2058</v>
      </c>
      <c r="D60" s="509">
        <f>IF(F59+SUM(E$17:E59)=D$10,F59,D$10-SUM(E$17:E59))</f>
        <v>0</v>
      </c>
      <c r="E60" s="510">
        <f t="shared" si="10"/>
        <v>0</v>
      </c>
      <c r="F60" s="511">
        <f t="shared" si="11"/>
        <v>0</v>
      </c>
      <c r="G60" s="512">
        <f t="shared" si="12"/>
        <v>0</v>
      </c>
      <c r="H60" s="478">
        <f t="shared" si="13"/>
        <v>0</v>
      </c>
      <c r="I60" s="501">
        <f t="shared" si="6"/>
        <v>0</v>
      </c>
      <c r="J60" s="501"/>
      <c r="K60" s="513"/>
      <c r="L60" s="505">
        <f t="shared" si="14"/>
        <v>0</v>
      </c>
      <c r="M60" s="513"/>
      <c r="N60" s="505">
        <f t="shared" si="4"/>
        <v>0</v>
      </c>
      <c r="O60" s="505">
        <f t="shared" si="5"/>
        <v>0</v>
      </c>
      <c r="P60" s="279"/>
      <c r="R60" s="244"/>
      <c r="S60" s="244"/>
      <c r="T60" s="244"/>
      <c r="U60" s="244"/>
    </row>
    <row r="61" spans="2:21">
      <c r="B61" s="145" t="str">
        <f>IF(D61=F60,"","IU")</f>
        <v/>
      </c>
      <c r="C61" s="496">
        <f>IF(D11="","-",+C60+1)</f>
        <v>2059</v>
      </c>
      <c r="D61" s="509">
        <f>IF(F60+SUM(E$17:E60)=D$10,F60,D$10-SUM(E$17:E60))</f>
        <v>0</v>
      </c>
      <c r="E61" s="510">
        <f t="shared" si="10"/>
        <v>0</v>
      </c>
      <c r="F61" s="511">
        <f t="shared" si="11"/>
        <v>0</v>
      </c>
      <c r="G61" s="512">
        <f t="shared" si="12"/>
        <v>0</v>
      </c>
      <c r="H61" s="478">
        <f t="shared" si="13"/>
        <v>0</v>
      </c>
      <c r="I61" s="501">
        <f t="shared" si="6"/>
        <v>0</v>
      </c>
      <c r="J61" s="501"/>
      <c r="K61" s="513"/>
      <c r="L61" s="505">
        <f t="shared" si="14"/>
        <v>0</v>
      </c>
      <c r="M61" s="513"/>
      <c r="N61" s="505">
        <f t="shared" si="4"/>
        <v>0</v>
      </c>
      <c r="O61" s="505">
        <f t="shared" si="5"/>
        <v>0</v>
      </c>
      <c r="P61" s="279"/>
      <c r="R61" s="244"/>
      <c r="S61" s="244"/>
      <c r="T61" s="244"/>
      <c r="U61" s="244"/>
    </row>
    <row r="62" spans="2:21">
      <c r="B62" s="145" t="str">
        <f t="shared" si="0"/>
        <v/>
      </c>
      <c r="C62" s="496">
        <f>IF(D11="","-",+C61+1)</f>
        <v>2060</v>
      </c>
      <c r="D62" s="509">
        <f>IF(F61+SUM(E$17:E61)=D$10,F61,D$10-SUM(E$17:E61))</f>
        <v>0</v>
      </c>
      <c r="E62" s="510">
        <f t="shared" si="10"/>
        <v>0</v>
      </c>
      <c r="F62" s="511">
        <f t="shared" si="11"/>
        <v>0</v>
      </c>
      <c r="G62" s="512">
        <f t="shared" si="12"/>
        <v>0</v>
      </c>
      <c r="H62" s="478">
        <f t="shared" si="13"/>
        <v>0</v>
      </c>
      <c r="I62" s="501">
        <f t="shared" si="6"/>
        <v>0</v>
      </c>
      <c r="J62" s="501"/>
      <c r="K62" s="513"/>
      <c r="L62" s="505">
        <f t="shared" si="14"/>
        <v>0</v>
      </c>
      <c r="M62" s="513"/>
      <c r="N62" s="505">
        <f t="shared" si="4"/>
        <v>0</v>
      </c>
      <c r="O62" s="505">
        <f t="shared" si="5"/>
        <v>0</v>
      </c>
      <c r="P62" s="279"/>
      <c r="R62" s="244"/>
      <c r="S62" s="244"/>
      <c r="T62" s="244"/>
      <c r="U62" s="244"/>
    </row>
    <row r="63" spans="2:21">
      <c r="B63" s="145" t="str">
        <f t="shared" si="0"/>
        <v/>
      </c>
      <c r="C63" s="496">
        <f>IF(D11="","-",+C62+1)</f>
        <v>2061</v>
      </c>
      <c r="D63" s="509">
        <f>IF(F62+SUM(E$17:E62)=D$10,F62,D$10-SUM(E$17:E62))</f>
        <v>0</v>
      </c>
      <c r="E63" s="510">
        <f t="shared" si="10"/>
        <v>0</v>
      </c>
      <c r="F63" s="511">
        <f t="shared" si="11"/>
        <v>0</v>
      </c>
      <c r="G63" s="512">
        <f t="shared" si="12"/>
        <v>0</v>
      </c>
      <c r="H63" s="478">
        <f t="shared" si="13"/>
        <v>0</v>
      </c>
      <c r="I63" s="501">
        <f t="shared" si="6"/>
        <v>0</v>
      </c>
      <c r="J63" s="501"/>
      <c r="K63" s="513"/>
      <c r="L63" s="505">
        <f t="shared" si="14"/>
        <v>0</v>
      </c>
      <c r="M63" s="513"/>
      <c r="N63" s="505">
        <f t="shared" si="4"/>
        <v>0</v>
      </c>
      <c r="O63" s="505">
        <f t="shared" si="5"/>
        <v>0</v>
      </c>
      <c r="P63" s="279"/>
      <c r="R63" s="244"/>
      <c r="S63" s="244"/>
      <c r="T63" s="244"/>
      <c r="U63" s="244"/>
    </row>
    <row r="64" spans="2:21">
      <c r="B64" s="145" t="str">
        <f t="shared" si="0"/>
        <v/>
      </c>
      <c r="C64" s="496">
        <f>IF(D11="","-",+C63+1)</f>
        <v>2062</v>
      </c>
      <c r="D64" s="509">
        <f>IF(F63+SUM(E$17:E63)=D$10,F63,D$10-SUM(E$17:E63))</f>
        <v>0</v>
      </c>
      <c r="E64" s="510">
        <f t="shared" si="10"/>
        <v>0</v>
      </c>
      <c r="F64" s="511">
        <f t="shared" si="11"/>
        <v>0</v>
      </c>
      <c r="G64" s="512">
        <f t="shared" si="12"/>
        <v>0</v>
      </c>
      <c r="H64" s="478">
        <f t="shared" si="13"/>
        <v>0</v>
      </c>
      <c r="I64" s="501">
        <f t="shared" si="6"/>
        <v>0</v>
      </c>
      <c r="J64" s="501"/>
      <c r="K64" s="513"/>
      <c r="L64" s="505">
        <f t="shared" si="14"/>
        <v>0</v>
      </c>
      <c r="M64" s="513"/>
      <c r="N64" s="505">
        <f t="shared" si="4"/>
        <v>0</v>
      </c>
      <c r="O64" s="505">
        <f t="shared" si="5"/>
        <v>0</v>
      </c>
      <c r="P64" s="279"/>
      <c r="R64" s="244"/>
      <c r="S64" s="244"/>
      <c r="T64" s="244"/>
      <c r="U64" s="244"/>
    </row>
    <row r="65" spans="2:21">
      <c r="B65" s="145" t="str">
        <f t="shared" si="0"/>
        <v/>
      </c>
      <c r="C65" s="496">
        <f>IF(D11="","-",+C64+1)</f>
        <v>2063</v>
      </c>
      <c r="D65" s="509">
        <f>IF(F64+SUM(E$17:E64)=D$10,F64,D$10-SUM(E$17:E64))</f>
        <v>0</v>
      </c>
      <c r="E65" s="510">
        <f t="shared" si="10"/>
        <v>0</v>
      </c>
      <c r="F65" s="511">
        <f t="shared" si="11"/>
        <v>0</v>
      </c>
      <c r="G65" s="512">
        <f t="shared" si="12"/>
        <v>0</v>
      </c>
      <c r="H65" s="478">
        <f t="shared" si="13"/>
        <v>0</v>
      </c>
      <c r="I65" s="501">
        <f t="shared" si="6"/>
        <v>0</v>
      </c>
      <c r="J65" s="501"/>
      <c r="K65" s="513"/>
      <c r="L65" s="505">
        <f t="shared" si="14"/>
        <v>0</v>
      </c>
      <c r="M65" s="513"/>
      <c r="N65" s="505">
        <f t="shared" si="4"/>
        <v>0</v>
      </c>
      <c r="O65" s="505">
        <f t="shared" si="5"/>
        <v>0</v>
      </c>
      <c r="P65" s="279"/>
      <c r="R65" s="244"/>
      <c r="S65" s="244"/>
      <c r="T65" s="244"/>
      <c r="U65" s="244"/>
    </row>
    <row r="66" spans="2:21">
      <c r="B66" s="145" t="str">
        <f t="shared" si="0"/>
        <v/>
      </c>
      <c r="C66" s="496">
        <f>IF(D11="","-",+C65+1)</f>
        <v>2064</v>
      </c>
      <c r="D66" s="509">
        <f>IF(F65+SUM(E$17:E65)=D$10,F65,D$10-SUM(E$17:E65))</f>
        <v>0</v>
      </c>
      <c r="E66" s="510">
        <f t="shared" si="10"/>
        <v>0</v>
      </c>
      <c r="F66" s="511">
        <f t="shared" si="11"/>
        <v>0</v>
      </c>
      <c r="G66" s="512">
        <f t="shared" si="12"/>
        <v>0</v>
      </c>
      <c r="H66" s="478">
        <f t="shared" si="13"/>
        <v>0</v>
      </c>
      <c r="I66" s="501">
        <f t="shared" si="6"/>
        <v>0</v>
      </c>
      <c r="J66" s="501"/>
      <c r="K66" s="513"/>
      <c r="L66" s="505">
        <f t="shared" si="14"/>
        <v>0</v>
      </c>
      <c r="M66" s="513"/>
      <c r="N66" s="505">
        <f t="shared" si="4"/>
        <v>0</v>
      </c>
      <c r="O66" s="505">
        <f t="shared" si="5"/>
        <v>0</v>
      </c>
      <c r="P66" s="279"/>
      <c r="R66" s="244"/>
      <c r="S66" s="244"/>
      <c r="T66" s="244"/>
      <c r="U66" s="244"/>
    </row>
    <row r="67" spans="2:21">
      <c r="B67" s="145" t="str">
        <f t="shared" si="0"/>
        <v/>
      </c>
      <c r="C67" s="496">
        <f>IF(D11="","-",+C66+1)</f>
        <v>2065</v>
      </c>
      <c r="D67" s="509">
        <f>IF(F66+SUM(E$17:E66)=D$10,F66,D$10-SUM(E$17:E66))</f>
        <v>0</v>
      </c>
      <c r="E67" s="510">
        <f t="shared" si="10"/>
        <v>0</v>
      </c>
      <c r="F67" s="511">
        <f t="shared" si="11"/>
        <v>0</v>
      </c>
      <c r="G67" s="512">
        <f t="shared" si="12"/>
        <v>0</v>
      </c>
      <c r="H67" s="478">
        <f t="shared" si="13"/>
        <v>0</v>
      </c>
      <c r="I67" s="501">
        <f t="shared" si="6"/>
        <v>0</v>
      </c>
      <c r="J67" s="501"/>
      <c r="K67" s="513"/>
      <c r="L67" s="505">
        <f t="shared" si="14"/>
        <v>0</v>
      </c>
      <c r="M67" s="513"/>
      <c r="N67" s="505">
        <f t="shared" si="4"/>
        <v>0</v>
      </c>
      <c r="O67" s="505">
        <f t="shared" si="5"/>
        <v>0</v>
      </c>
      <c r="P67" s="279"/>
      <c r="R67" s="244"/>
      <c r="S67" s="244"/>
      <c r="T67" s="244"/>
      <c r="U67" s="244"/>
    </row>
    <row r="68" spans="2:21">
      <c r="B68" s="145" t="str">
        <f t="shared" si="0"/>
        <v/>
      </c>
      <c r="C68" s="496">
        <f>IF(D11="","-",+C67+1)</f>
        <v>2066</v>
      </c>
      <c r="D68" s="509">
        <f>IF(F67+SUM(E$17:E67)=D$10,F67,D$10-SUM(E$17:E67))</f>
        <v>0</v>
      </c>
      <c r="E68" s="510">
        <f t="shared" si="10"/>
        <v>0</v>
      </c>
      <c r="F68" s="511">
        <f t="shared" si="11"/>
        <v>0</v>
      </c>
      <c r="G68" s="512">
        <f t="shared" si="12"/>
        <v>0</v>
      </c>
      <c r="H68" s="478">
        <f t="shared" si="13"/>
        <v>0</v>
      </c>
      <c r="I68" s="501">
        <f t="shared" si="6"/>
        <v>0</v>
      </c>
      <c r="J68" s="501"/>
      <c r="K68" s="513"/>
      <c r="L68" s="505">
        <f t="shared" si="14"/>
        <v>0</v>
      </c>
      <c r="M68" s="513"/>
      <c r="N68" s="505">
        <f t="shared" si="4"/>
        <v>0</v>
      </c>
      <c r="O68" s="505">
        <f t="shared" si="5"/>
        <v>0</v>
      </c>
      <c r="P68" s="279"/>
      <c r="R68" s="244"/>
      <c r="S68" s="244"/>
      <c r="T68" s="244"/>
      <c r="U68" s="244"/>
    </row>
    <row r="69" spans="2:21">
      <c r="B69" s="145" t="str">
        <f t="shared" si="0"/>
        <v/>
      </c>
      <c r="C69" s="496">
        <f>IF(D11="","-",+C68+1)</f>
        <v>2067</v>
      </c>
      <c r="D69" s="509">
        <f>IF(F68+SUM(E$17:E68)=D$10,F68,D$10-SUM(E$17:E68))</f>
        <v>0</v>
      </c>
      <c r="E69" s="510">
        <f t="shared" si="10"/>
        <v>0</v>
      </c>
      <c r="F69" s="511">
        <f t="shared" si="11"/>
        <v>0</v>
      </c>
      <c r="G69" s="512">
        <f t="shared" si="12"/>
        <v>0</v>
      </c>
      <c r="H69" s="478">
        <f t="shared" si="13"/>
        <v>0</v>
      </c>
      <c r="I69" s="501">
        <f t="shared" si="6"/>
        <v>0</v>
      </c>
      <c r="J69" s="501"/>
      <c r="K69" s="513"/>
      <c r="L69" s="505">
        <f t="shared" si="14"/>
        <v>0</v>
      </c>
      <c r="M69" s="513"/>
      <c r="N69" s="505">
        <f t="shared" si="4"/>
        <v>0</v>
      </c>
      <c r="O69" s="505">
        <f t="shared" si="5"/>
        <v>0</v>
      </c>
      <c r="P69" s="279"/>
      <c r="R69" s="244"/>
      <c r="S69" s="244"/>
      <c r="T69" s="244"/>
      <c r="U69" s="244"/>
    </row>
    <row r="70" spans="2:21">
      <c r="B70" s="145" t="str">
        <f t="shared" si="0"/>
        <v/>
      </c>
      <c r="C70" s="496">
        <f>IF(D11="","-",+C69+1)</f>
        <v>2068</v>
      </c>
      <c r="D70" s="509">
        <f>IF(F69+SUM(E$17:E69)=D$10,F69,D$10-SUM(E$17:E69))</f>
        <v>0</v>
      </c>
      <c r="E70" s="510">
        <f t="shared" si="10"/>
        <v>0</v>
      </c>
      <c r="F70" s="511">
        <f t="shared" si="11"/>
        <v>0</v>
      </c>
      <c r="G70" s="512">
        <f t="shared" si="12"/>
        <v>0</v>
      </c>
      <c r="H70" s="478">
        <f t="shared" si="13"/>
        <v>0</v>
      </c>
      <c r="I70" s="501">
        <f t="shared" si="6"/>
        <v>0</v>
      </c>
      <c r="J70" s="501"/>
      <c r="K70" s="513"/>
      <c r="L70" s="505">
        <f t="shared" si="14"/>
        <v>0</v>
      </c>
      <c r="M70" s="513"/>
      <c r="N70" s="505">
        <f t="shared" si="4"/>
        <v>0</v>
      </c>
      <c r="O70" s="505">
        <f t="shared" si="5"/>
        <v>0</v>
      </c>
      <c r="P70" s="279"/>
      <c r="R70" s="244"/>
      <c r="S70" s="244"/>
      <c r="T70" s="244"/>
      <c r="U70" s="244"/>
    </row>
    <row r="71" spans="2:21">
      <c r="B71" s="145" t="str">
        <f t="shared" si="0"/>
        <v/>
      </c>
      <c r="C71" s="496">
        <f>IF(D11="","-",+C70+1)</f>
        <v>2069</v>
      </c>
      <c r="D71" s="509">
        <f>IF(F70+SUM(E$17:E70)=D$10,F70,D$10-SUM(E$17:E70))</f>
        <v>0</v>
      </c>
      <c r="E71" s="510">
        <f t="shared" si="10"/>
        <v>0</v>
      </c>
      <c r="F71" s="511">
        <f t="shared" si="11"/>
        <v>0</v>
      </c>
      <c r="G71" s="512">
        <f t="shared" si="12"/>
        <v>0</v>
      </c>
      <c r="H71" s="478">
        <f t="shared" si="13"/>
        <v>0</v>
      </c>
      <c r="I71" s="501">
        <f t="shared" si="6"/>
        <v>0</v>
      </c>
      <c r="J71" s="501"/>
      <c r="K71" s="513"/>
      <c r="L71" s="505">
        <f t="shared" si="14"/>
        <v>0</v>
      </c>
      <c r="M71" s="513"/>
      <c r="N71" s="505">
        <f t="shared" si="4"/>
        <v>0</v>
      </c>
      <c r="O71" s="505">
        <f t="shared" si="5"/>
        <v>0</v>
      </c>
      <c r="P71" s="279"/>
      <c r="R71" s="244"/>
      <c r="S71" s="244"/>
      <c r="T71" s="244"/>
      <c r="U71" s="244"/>
    </row>
    <row r="72" spans="2:21">
      <c r="B72" s="145" t="str">
        <f t="shared" si="0"/>
        <v/>
      </c>
      <c r="C72" s="496">
        <f>IF(D11="","-",+C71+1)</f>
        <v>2070</v>
      </c>
      <c r="D72" s="509">
        <f>IF(F71+SUM(E$17:E71)=D$10,F71,D$10-SUM(E$17:E71))</f>
        <v>0</v>
      </c>
      <c r="E72" s="510">
        <f t="shared" si="10"/>
        <v>0</v>
      </c>
      <c r="F72" s="511">
        <f t="shared" si="11"/>
        <v>0</v>
      </c>
      <c r="G72" s="512">
        <f t="shared" si="12"/>
        <v>0</v>
      </c>
      <c r="H72" s="478">
        <f t="shared" si="13"/>
        <v>0</v>
      </c>
      <c r="I72" s="501">
        <f t="shared" si="6"/>
        <v>0</v>
      </c>
      <c r="J72" s="501"/>
      <c r="K72" s="513"/>
      <c r="L72" s="505">
        <f t="shared" si="14"/>
        <v>0</v>
      </c>
      <c r="M72" s="513"/>
      <c r="N72" s="505">
        <f t="shared" si="4"/>
        <v>0</v>
      </c>
      <c r="O72" s="505">
        <f t="shared" si="5"/>
        <v>0</v>
      </c>
      <c r="P72" s="279"/>
      <c r="R72" s="244"/>
      <c r="S72" s="244"/>
      <c r="T72" s="244"/>
      <c r="U72" s="244"/>
    </row>
    <row r="73" spans="2:21" ht="13.5" thickBot="1">
      <c r="B73" s="145" t="str">
        <f t="shared" si="0"/>
        <v/>
      </c>
      <c r="C73" s="525">
        <f>IF(D11="","-",+C72+1)</f>
        <v>2071</v>
      </c>
      <c r="D73" s="509">
        <f>IF(F72+SUM(E$17:E72)=D$10,F72,D$10-SUM(E$17:E72))</f>
        <v>0</v>
      </c>
      <c r="E73" s="510">
        <f t="shared" si="10"/>
        <v>0</v>
      </c>
      <c r="F73" s="511">
        <f t="shared" si="11"/>
        <v>0</v>
      </c>
      <c r="G73" s="512">
        <f t="shared" si="12"/>
        <v>0</v>
      </c>
      <c r="H73" s="478">
        <f t="shared" si="13"/>
        <v>0</v>
      </c>
      <c r="I73" s="501">
        <f t="shared" si="6"/>
        <v>0</v>
      </c>
      <c r="J73" s="501"/>
      <c r="K73" s="531"/>
      <c r="L73" s="532">
        <f t="shared" si="14"/>
        <v>0</v>
      </c>
      <c r="M73" s="531"/>
      <c r="N73" s="532">
        <f t="shared" si="4"/>
        <v>0</v>
      </c>
      <c r="O73" s="532">
        <f t="shared" si="5"/>
        <v>0</v>
      </c>
      <c r="P73" s="279"/>
      <c r="R73" s="244"/>
      <c r="S73" s="244"/>
      <c r="T73" s="244"/>
      <c r="U73" s="244"/>
    </row>
    <row r="74" spans="2:21">
      <c r="C74" s="350" t="s">
        <v>75</v>
      </c>
      <c r="D74" s="295"/>
      <c r="E74" s="295">
        <f>SUM(E17:E73)</f>
        <v>8535104</v>
      </c>
      <c r="F74" s="295"/>
      <c r="G74" s="295">
        <f>SUM(G17:G73)</f>
        <v>25173254.906092927</v>
      </c>
      <c r="H74" s="295">
        <f>SUM(H17:H73)</f>
        <v>25173254.906092927</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9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1061489.8962062567</v>
      </c>
      <c r="N88" s="545">
        <f>IF(J93&lt;D11,0,VLOOKUP(J93,C17:O73,11))</f>
        <v>1061489.8962062567</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1179196.7813973147</v>
      </c>
      <c r="N89" s="549">
        <f>IF(J93&lt;D11,0,VLOOKUP(J93,C100:P155,7))</f>
        <v>1179196.7813973147</v>
      </c>
      <c r="O89" s="550">
        <f>+N89-M89</f>
        <v>0</v>
      </c>
      <c r="P89" s="244"/>
      <c r="Q89" s="244"/>
      <c r="R89" s="244"/>
      <c r="S89" s="244"/>
      <c r="T89" s="244"/>
      <c r="U89" s="244"/>
    </row>
    <row r="90" spans="1:21" ht="13.5" thickBot="1">
      <c r="C90" s="455" t="s">
        <v>82</v>
      </c>
      <c r="D90" s="551" t="str">
        <f>+D7</f>
        <v>Prattville-Bluebell 138 kV</v>
      </c>
      <c r="E90" s="244"/>
      <c r="F90" s="244"/>
      <c r="G90" s="244"/>
      <c r="H90" s="244"/>
      <c r="I90" s="326"/>
      <c r="J90" s="326"/>
      <c r="K90" s="552"/>
      <c r="L90" s="553" t="s">
        <v>135</v>
      </c>
      <c r="M90" s="554">
        <f>+M89-M88</f>
        <v>117706.88519105804</v>
      </c>
      <c r="N90" s="554">
        <f>+N89-N88</f>
        <v>117706.88519105804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622" t="str">
        <f>+D9</f>
        <v>TP2010094</v>
      </c>
      <c r="E92" s="559"/>
      <c r="F92" s="559"/>
      <c r="G92" s="559"/>
      <c r="H92" s="559"/>
      <c r="I92" s="559"/>
      <c r="J92" s="559"/>
      <c r="K92" s="561"/>
      <c r="P92" s="469"/>
      <c r="Q92" s="244"/>
      <c r="R92" s="244"/>
      <c r="S92" s="244"/>
      <c r="T92" s="244"/>
      <c r="U92" s="244"/>
    </row>
    <row r="93" spans="1:21">
      <c r="C93" s="473" t="s">
        <v>49</v>
      </c>
      <c r="D93" s="623">
        <f>+D10</f>
        <v>8535104</v>
      </c>
      <c r="E93" s="249" t="s">
        <v>84</v>
      </c>
      <c r="H93" s="409"/>
      <c r="I93" s="409"/>
      <c r="J93" s="472">
        <f>+'OKT.WS.G.BPU.ATRR.True-up'!M16</f>
        <v>2021</v>
      </c>
      <c r="K93" s="468"/>
      <c r="L93" s="295" t="s">
        <v>85</v>
      </c>
      <c r="P93" s="279"/>
      <c r="Q93" s="244"/>
      <c r="R93" s="244"/>
      <c r="S93" s="244"/>
      <c r="T93" s="244"/>
      <c r="U93" s="244"/>
    </row>
    <row r="94" spans="1:21">
      <c r="C94" s="473" t="s">
        <v>52</v>
      </c>
      <c r="D94" s="562">
        <f>IF(D11=I10,"",D11)</f>
        <v>2015</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6</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341404.15999999997</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55" si="17">IF(D100=F99,"","IU")</f>
        <v>IU</v>
      </c>
      <c r="C100" s="496">
        <f>IF(D94= "","-",D94)</f>
        <v>2015</v>
      </c>
      <c r="D100" s="613">
        <v>0</v>
      </c>
      <c r="E100" s="614">
        <v>102447.91666666666</v>
      </c>
      <c r="F100" s="615">
        <v>8327552.083333333</v>
      </c>
      <c r="G100" s="616">
        <v>4163776.0416666665</v>
      </c>
      <c r="H100" s="616">
        <v>565998.7241739725</v>
      </c>
      <c r="I100" s="616">
        <v>565998.7241739725</v>
      </c>
      <c r="J100" s="505">
        <v>0</v>
      </c>
      <c r="K100" s="505"/>
      <c r="L100" s="507">
        <f t="shared" ref="L100:L105" si="18">H100</f>
        <v>565998.7241739725</v>
      </c>
      <c r="M100" s="505">
        <f t="shared" ref="M100:M105" si="19">IF(L100&lt;&gt;0,+H100-L100,0)</f>
        <v>0</v>
      </c>
      <c r="N100" s="507">
        <f t="shared" ref="N100:N105" si="20">I100</f>
        <v>565998.7241739725</v>
      </c>
      <c r="O100" s="504">
        <f t="shared" ref="O100:O131" si="21">IF(N100&lt;&gt;0,+I100-N100,0)</f>
        <v>0</v>
      </c>
      <c r="P100" s="504">
        <f t="shared" ref="P100:P131" si="22">+O100-M100</f>
        <v>0</v>
      </c>
      <c r="Q100" s="244"/>
      <c r="R100" s="244"/>
      <c r="S100" s="244"/>
      <c r="T100" s="244"/>
      <c r="U100" s="244"/>
    </row>
    <row r="101" spans="1:21">
      <c r="B101" s="145" t="str">
        <f t="shared" si="17"/>
        <v>IU</v>
      </c>
      <c r="C101" s="496">
        <f>IF(D94="","-",+C100+1)</f>
        <v>2016</v>
      </c>
      <c r="D101" s="506">
        <v>8432656.083333334</v>
      </c>
      <c r="E101" s="499">
        <v>167354.98039215687</v>
      </c>
      <c r="F101" s="506">
        <v>8265301.1029411769</v>
      </c>
      <c r="G101" s="499">
        <v>8348978.5931372549</v>
      </c>
      <c r="H101" s="500">
        <v>1072129.2771965233</v>
      </c>
      <c r="I101" s="500">
        <v>1072129.2771965233</v>
      </c>
      <c r="J101" s="505">
        <f t="shared" ref="J101:J131" si="23">+I101-H101</f>
        <v>0</v>
      </c>
      <c r="K101" s="505"/>
      <c r="L101" s="507">
        <f t="shared" si="18"/>
        <v>1072129.2771965233</v>
      </c>
      <c r="M101" s="505">
        <f t="shared" si="19"/>
        <v>0</v>
      </c>
      <c r="N101" s="590">
        <f t="shared" si="20"/>
        <v>1072129.2771965233</v>
      </c>
      <c r="O101" s="590">
        <f>IF(N101&lt;&gt;0,+I101-N101,0)</f>
        <v>0</v>
      </c>
      <c r="P101" s="505">
        <f>+O101-M101</f>
        <v>0</v>
      </c>
      <c r="Q101" s="244"/>
      <c r="R101" s="244"/>
      <c r="S101" s="244"/>
      <c r="T101" s="244"/>
      <c r="U101" s="244"/>
    </row>
    <row r="102" spans="1:21">
      <c r="B102" s="145" t="str">
        <f t="shared" si="17"/>
        <v/>
      </c>
      <c r="C102" s="496">
        <f>IF(D94="","-",+C101+1)</f>
        <v>2017</v>
      </c>
      <c r="D102" s="506">
        <v>8265301.1029411769</v>
      </c>
      <c r="E102" s="499">
        <v>213377.6</v>
      </c>
      <c r="F102" s="506">
        <v>8051923.5029411772</v>
      </c>
      <c r="G102" s="499">
        <v>8158612.302941177</v>
      </c>
      <c r="H102" s="500">
        <v>1170675.4253324734</v>
      </c>
      <c r="I102" s="500">
        <v>1170675.4253324734</v>
      </c>
      <c r="J102" s="505">
        <f t="shared" si="23"/>
        <v>0</v>
      </c>
      <c r="K102" s="505"/>
      <c r="L102" s="507">
        <f t="shared" si="18"/>
        <v>1170675.4253324734</v>
      </c>
      <c r="M102" s="505">
        <f t="shared" si="19"/>
        <v>0</v>
      </c>
      <c r="N102" s="590">
        <f t="shared" si="20"/>
        <v>1170675.4253324734</v>
      </c>
      <c r="O102" s="590">
        <f>IF(N102&lt;&gt;0,+I102-N102,0)</f>
        <v>0</v>
      </c>
      <c r="P102" s="505">
        <f>+O102-M102</f>
        <v>0</v>
      </c>
      <c r="Q102" s="244"/>
      <c r="R102" s="244"/>
      <c r="S102" s="244"/>
      <c r="T102" s="244"/>
      <c r="U102" s="244"/>
    </row>
    <row r="103" spans="1:21">
      <c r="B103" s="145" t="str">
        <f t="shared" si="17"/>
        <v/>
      </c>
      <c r="C103" s="496">
        <f>IF(D94="","-",+C102+1)</f>
        <v>2018</v>
      </c>
      <c r="D103" s="506">
        <v>8051923.5029411772</v>
      </c>
      <c r="E103" s="499">
        <v>237086.22222222222</v>
      </c>
      <c r="F103" s="506">
        <v>7814837.2807189552</v>
      </c>
      <c r="G103" s="499">
        <v>7933380.3918300662</v>
      </c>
      <c r="H103" s="500">
        <v>1074553.2860184449</v>
      </c>
      <c r="I103" s="500">
        <v>1074553.2860184449</v>
      </c>
      <c r="J103" s="505">
        <f t="shared" si="23"/>
        <v>0</v>
      </c>
      <c r="K103" s="505"/>
      <c r="L103" s="507">
        <f t="shared" si="18"/>
        <v>1074553.2860184449</v>
      </c>
      <c r="M103" s="505">
        <f t="shared" si="19"/>
        <v>0</v>
      </c>
      <c r="N103" s="590">
        <f t="shared" si="20"/>
        <v>1074553.2860184449</v>
      </c>
      <c r="O103" s="590">
        <f>IF(N103&lt;&gt;0,+I103-N103,0)</f>
        <v>0</v>
      </c>
      <c r="P103" s="505">
        <f>+O103-M103</f>
        <v>0</v>
      </c>
      <c r="Q103" s="244"/>
      <c r="R103" s="244"/>
      <c r="S103" s="244"/>
      <c r="T103" s="244"/>
      <c r="U103" s="244"/>
    </row>
    <row r="104" spans="1:21">
      <c r="B104" s="145" t="str">
        <f t="shared" si="17"/>
        <v/>
      </c>
      <c r="C104" s="496">
        <f>IF(D94="","-",+C103+1)</f>
        <v>2019</v>
      </c>
      <c r="D104" s="506">
        <v>7814837.2807189552</v>
      </c>
      <c r="E104" s="499">
        <v>237086.22222222222</v>
      </c>
      <c r="F104" s="506">
        <v>7577751.0584967332</v>
      </c>
      <c r="G104" s="499">
        <v>7696294.1696078442</v>
      </c>
      <c r="H104" s="500">
        <v>1049525.8837530178</v>
      </c>
      <c r="I104" s="500">
        <v>1049525.8837530178</v>
      </c>
      <c r="J104" s="505">
        <f t="shared" si="23"/>
        <v>0</v>
      </c>
      <c r="K104" s="505"/>
      <c r="L104" s="507">
        <f t="shared" si="18"/>
        <v>1049525.8837530178</v>
      </c>
      <c r="M104" s="505">
        <f t="shared" si="19"/>
        <v>0</v>
      </c>
      <c r="N104" s="590">
        <f t="shared" si="20"/>
        <v>1049525.8837530178</v>
      </c>
      <c r="O104" s="505">
        <f t="shared" si="21"/>
        <v>0</v>
      </c>
      <c r="P104" s="505">
        <f t="shared" si="22"/>
        <v>0</v>
      </c>
      <c r="Q104" s="244"/>
      <c r="R104" s="244"/>
      <c r="S104" s="244"/>
      <c r="T104" s="244"/>
      <c r="U104" s="244"/>
    </row>
    <row r="105" spans="1:21">
      <c r="B105" s="145" t="str">
        <f t="shared" si="17"/>
        <v/>
      </c>
      <c r="C105" s="496">
        <f>IF(D94="","-",+C104+1)</f>
        <v>2020</v>
      </c>
      <c r="D105" s="506">
        <v>7577751.0584967332</v>
      </c>
      <c r="E105" s="499">
        <v>304825.14285714284</v>
      </c>
      <c r="F105" s="506">
        <v>7272925.9156395905</v>
      </c>
      <c r="G105" s="499">
        <v>7425338.4870681614</v>
      </c>
      <c r="H105" s="500">
        <v>1094981.3923049036</v>
      </c>
      <c r="I105" s="500">
        <v>1094981.3923049036</v>
      </c>
      <c r="J105" s="505">
        <f t="shared" si="23"/>
        <v>0</v>
      </c>
      <c r="K105" s="505"/>
      <c r="L105" s="507">
        <f t="shared" si="18"/>
        <v>1094981.3923049036</v>
      </c>
      <c r="M105" s="505">
        <f t="shared" si="19"/>
        <v>0</v>
      </c>
      <c r="N105" s="590">
        <f t="shared" si="20"/>
        <v>1094981.3923049036</v>
      </c>
      <c r="O105" s="505">
        <f t="shared" si="21"/>
        <v>0</v>
      </c>
      <c r="P105" s="505">
        <f t="shared" si="22"/>
        <v>0</v>
      </c>
      <c r="Q105" s="244"/>
      <c r="R105" s="244"/>
      <c r="S105" s="244"/>
      <c r="T105" s="244"/>
      <c r="U105" s="244"/>
    </row>
    <row r="106" spans="1:21">
      <c r="B106" s="145" t="str">
        <f t="shared" si="17"/>
        <v/>
      </c>
      <c r="C106" s="496">
        <f>IF(D94="","-",+C105+1)</f>
        <v>2021</v>
      </c>
      <c r="D106" s="350">
        <f>IF(F105+SUM(E$100:E105)=D$93,F105,D$93-SUM(E$100:E105))</f>
        <v>7272925.9156395905</v>
      </c>
      <c r="E106" s="510">
        <f>IF(+J97&lt;F105,J97,D106)</f>
        <v>341404.15999999997</v>
      </c>
      <c r="F106" s="511">
        <f t="shared" ref="F106:F155" si="24">+D106-E106</f>
        <v>6931521.7556395903</v>
      </c>
      <c r="G106" s="511">
        <f t="shared" ref="G106:G155" si="25">+(F106+D106)/2</f>
        <v>7102223.8356395904</v>
      </c>
      <c r="H106" s="646">
        <f t="shared" ref="H106:H155" si="26">(D106+F106)/2*J$95+E106</f>
        <v>1179196.7813973147</v>
      </c>
      <c r="I106" s="573">
        <f t="shared" ref="I106:I155" si="27">+J$96*G106+E106</f>
        <v>1179196.7813973147</v>
      </c>
      <c r="J106" s="505">
        <f t="shared" si="23"/>
        <v>0</v>
      </c>
      <c r="K106" s="505"/>
      <c r="L106" s="513"/>
      <c r="M106" s="505">
        <f t="shared" ref="M106:M131" si="28">IF(L106&lt;&gt;0,+H106-L106,0)</f>
        <v>0</v>
      </c>
      <c r="N106" s="513"/>
      <c r="O106" s="505">
        <f t="shared" si="21"/>
        <v>0</v>
      </c>
      <c r="P106" s="505">
        <f t="shared" si="22"/>
        <v>0</v>
      </c>
      <c r="Q106" s="244"/>
      <c r="R106" s="244"/>
      <c r="S106" s="244"/>
      <c r="T106" s="244"/>
      <c r="U106" s="244"/>
    </row>
    <row r="107" spans="1:21">
      <c r="B107" s="145" t="str">
        <f t="shared" si="17"/>
        <v/>
      </c>
      <c r="C107" s="496">
        <f>IF(D94="","-",+C106+1)</f>
        <v>2022</v>
      </c>
      <c r="D107" s="350">
        <f>IF(F106+SUM(E$100:E106)=D$93,F106,D$93-SUM(E$100:E106))</f>
        <v>6931521.7556395903</v>
      </c>
      <c r="E107" s="510">
        <f>IF(+J97&lt;F106,J97,D107)</f>
        <v>341404.15999999997</v>
      </c>
      <c r="F107" s="511">
        <f t="shared" si="24"/>
        <v>6590117.5956395902</v>
      </c>
      <c r="G107" s="511">
        <f t="shared" si="25"/>
        <v>6760819.6756395902</v>
      </c>
      <c r="H107" s="646">
        <f t="shared" si="26"/>
        <v>1138924.0593905759</v>
      </c>
      <c r="I107" s="573">
        <f t="shared" si="27"/>
        <v>1138924.0593905759</v>
      </c>
      <c r="J107" s="505">
        <f t="shared" si="23"/>
        <v>0</v>
      </c>
      <c r="K107" s="505"/>
      <c r="L107" s="513"/>
      <c r="M107" s="505">
        <f t="shared" si="28"/>
        <v>0</v>
      </c>
      <c r="N107" s="513"/>
      <c r="O107" s="505">
        <f t="shared" si="21"/>
        <v>0</v>
      </c>
      <c r="P107" s="505">
        <f t="shared" si="22"/>
        <v>0</v>
      </c>
      <c r="Q107" s="244"/>
      <c r="R107" s="244"/>
      <c r="S107" s="244"/>
      <c r="T107" s="244"/>
      <c r="U107" s="244"/>
    </row>
    <row r="108" spans="1:21">
      <c r="B108" s="145" t="str">
        <f t="shared" si="17"/>
        <v/>
      </c>
      <c r="C108" s="496">
        <f>IF(D94="","-",+C107+1)</f>
        <v>2023</v>
      </c>
      <c r="D108" s="350">
        <f>IF(F107+SUM(E$100:E107)=D$93,F107,D$93-SUM(E$100:E107))</f>
        <v>6590117.5956395902</v>
      </c>
      <c r="E108" s="510">
        <f>IF(+J97&lt;F107,J97,D108)</f>
        <v>341404.15999999997</v>
      </c>
      <c r="F108" s="511">
        <f t="shared" si="24"/>
        <v>6248713.43563959</v>
      </c>
      <c r="G108" s="511">
        <f t="shared" si="25"/>
        <v>6419415.5156395901</v>
      </c>
      <c r="H108" s="646">
        <f t="shared" si="26"/>
        <v>1098651.3373838367</v>
      </c>
      <c r="I108" s="573">
        <f t="shared" si="27"/>
        <v>1098651.3373838367</v>
      </c>
      <c r="J108" s="505">
        <f t="shared" si="23"/>
        <v>0</v>
      </c>
      <c r="K108" s="505"/>
      <c r="L108" s="513"/>
      <c r="M108" s="505">
        <f t="shared" si="28"/>
        <v>0</v>
      </c>
      <c r="N108" s="513"/>
      <c r="O108" s="505">
        <f t="shared" si="21"/>
        <v>0</v>
      </c>
      <c r="P108" s="505">
        <f t="shared" si="22"/>
        <v>0</v>
      </c>
      <c r="Q108" s="244"/>
      <c r="R108" s="244"/>
      <c r="S108" s="244"/>
      <c r="T108" s="244"/>
      <c r="U108" s="244"/>
    </row>
    <row r="109" spans="1:21">
      <c r="B109" s="145" t="str">
        <f t="shared" si="17"/>
        <v/>
      </c>
      <c r="C109" s="496">
        <f>IF(D94="","-",+C108+1)</f>
        <v>2024</v>
      </c>
      <c r="D109" s="350">
        <f>IF(F108+SUM(E$100:E108)=D$93,F108,D$93-SUM(E$100:E108))</f>
        <v>6248713.43563959</v>
      </c>
      <c r="E109" s="510">
        <f>IF(+J97&lt;F108,J97,D109)</f>
        <v>341404.15999999997</v>
      </c>
      <c r="F109" s="511">
        <f t="shared" si="24"/>
        <v>5907309.2756395899</v>
      </c>
      <c r="G109" s="511">
        <f t="shared" si="25"/>
        <v>6078011.35563959</v>
      </c>
      <c r="H109" s="646">
        <f t="shared" si="26"/>
        <v>1058378.6153770979</v>
      </c>
      <c r="I109" s="573">
        <f t="shared" si="27"/>
        <v>1058378.6153770979</v>
      </c>
      <c r="J109" s="505">
        <f t="shared" si="23"/>
        <v>0</v>
      </c>
      <c r="K109" s="505"/>
      <c r="L109" s="513"/>
      <c r="M109" s="505">
        <f t="shared" si="28"/>
        <v>0</v>
      </c>
      <c r="N109" s="513"/>
      <c r="O109" s="505">
        <f t="shared" si="21"/>
        <v>0</v>
      </c>
      <c r="P109" s="505">
        <f t="shared" si="22"/>
        <v>0</v>
      </c>
      <c r="Q109" s="244"/>
      <c r="R109" s="244"/>
      <c r="S109" s="244"/>
      <c r="T109" s="244"/>
      <c r="U109" s="244"/>
    </row>
    <row r="110" spans="1:21">
      <c r="B110" s="145" t="str">
        <f t="shared" si="17"/>
        <v/>
      </c>
      <c r="C110" s="496">
        <f>IF(D94="","-",+C109+1)</f>
        <v>2025</v>
      </c>
      <c r="D110" s="350">
        <f>IF(F109+SUM(E$100:E109)=D$93,F109,D$93-SUM(E$100:E109))</f>
        <v>5907309.2756395899</v>
      </c>
      <c r="E110" s="510">
        <f>IF(+J97&lt;F109,J97,D110)</f>
        <v>341404.15999999997</v>
      </c>
      <c r="F110" s="511">
        <f t="shared" si="24"/>
        <v>5565905.1156395897</v>
      </c>
      <c r="G110" s="511">
        <f t="shared" si="25"/>
        <v>5736607.1956395898</v>
      </c>
      <c r="H110" s="646">
        <f t="shared" si="26"/>
        <v>1018105.893370359</v>
      </c>
      <c r="I110" s="573">
        <f t="shared" si="27"/>
        <v>1018105.893370359</v>
      </c>
      <c r="J110" s="505">
        <f t="shared" si="23"/>
        <v>0</v>
      </c>
      <c r="K110" s="505"/>
      <c r="L110" s="513"/>
      <c r="M110" s="505">
        <f t="shared" si="28"/>
        <v>0</v>
      </c>
      <c r="N110" s="513"/>
      <c r="O110" s="505">
        <f t="shared" si="21"/>
        <v>0</v>
      </c>
      <c r="P110" s="505">
        <f t="shared" si="22"/>
        <v>0</v>
      </c>
      <c r="Q110" s="244"/>
      <c r="R110" s="244"/>
      <c r="S110" s="244"/>
      <c r="T110" s="244"/>
      <c r="U110" s="244"/>
    </row>
    <row r="111" spans="1:21">
      <c r="B111" s="145" t="str">
        <f t="shared" si="17"/>
        <v/>
      </c>
      <c r="C111" s="496">
        <f>IF(D94="","-",+C110+1)</f>
        <v>2026</v>
      </c>
      <c r="D111" s="350">
        <f>IF(F110+SUM(E$100:E110)=D$93,F110,D$93-SUM(E$100:E110))</f>
        <v>5565905.1156395897</v>
      </c>
      <c r="E111" s="510">
        <f>IF(+J97&lt;F110,J97,D111)</f>
        <v>341404.15999999997</v>
      </c>
      <c r="F111" s="511">
        <f t="shared" si="24"/>
        <v>5224500.9556395896</v>
      </c>
      <c r="G111" s="511">
        <f t="shared" si="25"/>
        <v>5395203.0356395897</v>
      </c>
      <c r="H111" s="646">
        <f t="shared" si="26"/>
        <v>977833.17136362009</v>
      </c>
      <c r="I111" s="573">
        <f t="shared" si="27"/>
        <v>977833.17136362009</v>
      </c>
      <c r="J111" s="505">
        <f t="shared" si="23"/>
        <v>0</v>
      </c>
      <c r="K111" s="505"/>
      <c r="L111" s="513"/>
      <c r="M111" s="505">
        <f t="shared" si="28"/>
        <v>0</v>
      </c>
      <c r="N111" s="513"/>
      <c r="O111" s="505">
        <f t="shared" si="21"/>
        <v>0</v>
      </c>
      <c r="P111" s="505">
        <f t="shared" si="22"/>
        <v>0</v>
      </c>
      <c r="Q111" s="244"/>
      <c r="R111" s="244"/>
      <c r="S111" s="244"/>
      <c r="T111" s="244"/>
      <c r="U111" s="244"/>
    </row>
    <row r="112" spans="1:21">
      <c r="B112" s="145" t="str">
        <f t="shared" si="17"/>
        <v/>
      </c>
      <c r="C112" s="496">
        <f>IF(D94="","-",+C111+1)</f>
        <v>2027</v>
      </c>
      <c r="D112" s="350">
        <f>IF(F111+SUM(E$100:E111)=D$93,F111,D$93-SUM(E$100:E111))</f>
        <v>5224500.9556395896</v>
      </c>
      <c r="E112" s="510">
        <f>IF(+J97&lt;F111,J97,D112)</f>
        <v>341404.15999999997</v>
      </c>
      <c r="F112" s="511">
        <f t="shared" si="24"/>
        <v>4883096.7956395894</v>
      </c>
      <c r="G112" s="511">
        <f t="shared" si="25"/>
        <v>5053798.8756395895</v>
      </c>
      <c r="H112" s="646">
        <f t="shared" si="26"/>
        <v>937560.44935688097</v>
      </c>
      <c r="I112" s="573">
        <f t="shared" si="27"/>
        <v>937560.44935688097</v>
      </c>
      <c r="J112" s="505">
        <f t="shared" si="23"/>
        <v>0</v>
      </c>
      <c r="K112" s="505"/>
      <c r="L112" s="513"/>
      <c r="M112" s="505">
        <f t="shared" si="28"/>
        <v>0</v>
      </c>
      <c r="N112" s="513"/>
      <c r="O112" s="505">
        <f t="shared" si="21"/>
        <v>0</v>
      </c>
      <c r="P112" s="505">
        <f t="shared" si="22"/>
        <v>0</v>
      </c>
      <c r="Q112" s="244"/>
      <c r="R112" s="244"/>
      <c r="S112" s="244"/>
      <c r="T112" s="244"/>
      <c r="U112" s="244"/>
    </row>
    <row r="113" spans="2:21">
      <c r="B113" s="145" t="str">
        <f t="shared" si="17"/>
        <v/>
      </c>
      <c r="C113" s="496">
        <f>IF(D94="","-",+C112+1)</f>
        <v>2028</v>
      </c>
      <c r="D113" s="350">
        <f>IF(F112+SUM(E$100:E112)=D$93,F112,D$93-SUM(E$100:E112))</f>
        <v>4883096.7956395894</v>
      </c>
      <c r="E113" s="510">
        <f>IF(+J97&lt;F112,J97,D113)</f>
        <v>341404.15999999997</v>
      </c>
      <c r="F113" s="511">
        <f t="shared" si="24"/>
        <v>4541692.6356395893</v>
      </c>
      <c r="G113" s="511">
        <f t="shared" si="25"/>
        <v>4712394.7156395894</v>
      </c>
      <c r="H113" s="646">
        <f t="shared" si="26"/>
        <v>897287.72735014209</v>
      </c>
      <c r="I113" s="573">
        <f t="shared" si="27"/>
        <v>897287.72735014209</v>
      </c>
      <c r="J113" s="505">
        <f t="shared" si="23"/>
        <v>0</v>
      </c>
      <c r="K113" s="505"/>
      <c r="L113" s="513"/>
      <c r="M113" s="505">
        <f t="shared" si="28"/>
        <v>0</v>
      </c>
      <c r="N113" s="513"/>
      <c r="O113" s="505">
        <f t="shared" si="21"/>
        <v>0</v>
      </c>
      <c r="P113" s="505">
        <f t="shared" si="22"/>
        <v>0</v>
      </c>
      <c r="Q113" s="244"/>
      <c r="R113" s="244"/>
      <c r="S113" s="244"/>
      <c r="T113" s="244"/>
      <c r="U113" s="244"/>
    </row>
    <row r="114" spans="2:21">
      <c r="B114" s="145" t="str">
        <f t="shared" si="17"/>
        <v/>
      </c>
      <c r="C114" s="496">
        <f>IF(D94="","-",+C113+1)</f>
        <v>2029</v>
      </c>
      <c r="D114" s="350">
        <f>IF(F113+SUM(E$100:E113)=D$93,F113,D$93-SUM(E$100:E113))</f>
        <v>4541692.6356395893</v>
      </c>
      <c r="E114" s="510">
        <f>IF(+J97&lt;F113,J97,D114)</f>
        <v>341404.15999999997</v>
      </c>
      <c r="F114" s="511">
        <f t="shared" si="24"/>
        <v>4200288.4756395891</v>
      </c>
      <c r="G114" s="511">
        <f t="shared" si="25"/>
        <v>4370990.5556395892</v>
      </c>
      <c r="H114" s="646">
        <f t="shared" si="26"/>
        <v>857015.0053434032</v>
      </c>
      <c r="I114" s="573">
        <f t="shared" si="27"/>
        <v>857015.0053434032</v>
      </c>
      <c r="J114" s="505">
        <f t="shared" si="23"/>
        <v>0</v>
      </c>
      <c r="K114" s="505"/>
      <c r="L114" s="513"/>
      <c r="M114" s="505">
        <f t="shared" si="28"/>
        <v>0</v>
      </c>
      <c r="N114" s="513"/>
      <c r="O114" s="505">
        <f t="shared" si="21"/>
        <v>0</v>
      </c>
      <c r="P114" s="505">
        <f t="shared" si="22"/>
        <v>0</v>
      </c>
      <c r="Q114" s="244"/>
      <c r="R114" s="244"/>
      <c r="S114" s="244"/>
      <c r="T114" s="244"/>
      <c r="U114" s="244"/>
    </row>
    <row r="115" spans="2:21">
      <c r="B115" s="145" t="str">
        <f t="shared" si="17"/>
        <v/>
      </c>
      <c r="C115" s="496">
        <f>IF(D94="","-",+C114+1)</f>
        <v>2030</v>
      </c>
      <c r="D115" s="350">
        <f>IF(F114+SUM(E$100:E114)=D$93,F114,D$93-SUM(E$100:E114))</f>
        <v>4200288.4756395891</v>
      </c>
      <c r="E115" s="510">
        <f>IF(+J97&lt;F114,J97,D115)</f>
        <v>341404.15999999997</v>
      </c>
      <c r="F115" s="511">
        <f t="shared" si="24"/>
        <v>3858884.315639589</v>
      </c>
      <c r="G115" s="511">
        <f t="shared" si="25"/>
        <v>4029586.3956395891</v>
      </c>
      <c r="H115" s="646">
        <f t="shared" si="26"/>
        <v>816742.2833366642</v>
      </c>
      <c r="I115" s="573">
        <f t="shared" si="27"/>
        <v>816742.2833366642</v>
      </c>
      <c r="J115" s="505">
        <f t="shared" si="23"/>
        <v>0</v>
      </c>
      <c r="K115" s="505"/>
      <c r="L115" s="513"/>
      <c r="M115" s="505">
        <f t="shared" si="28"/>
        <v>0</v>
      </c>
      <c r="N115" s="513"/>
      <c r="O115" s="505">
        <f t="shared" si="21"/>
        <v>0</v>
      </c>
      <c r="P115" s="505">
        <f t="shared" si="22"/>
        <v>0</v>
      </c>
      <c r="Q115" s="244"/>
      <c r="R115" s="244"/>
      <c r="S115" s="244"/>
      <c r="T115" s="244"/>
      <c r="U115" s="244"/>
    </row>
    <row r="116" spans="2:21">
      <c r="B116" s="145" t="str">
        <f t="shared" si="17"/>
        <v/>
      </c>
      <c r="C116" s="496">
        <f>IF(D94="","-",+C115+1)</f>
        <v>2031</v>
      </c>
      <c r="D116" s="350">
        <f>IF(F115+SUM(E$100:E115)=D$93,F115,D$93-SUM(E$100:E115))</f>
        <v>3858884.315639589</v>
      </c>
      <c r="E116" s="510">
        <f>IF(+J97&lt;F115,J97,D116)</f>
        <v>341404.15999999997</v>
      </c>
      <c r="F116" s="511">
        <f t="shared" si="24"/>
        <v>3517480.1556395888</v>
      </c>
      <c r="G116" s="511">
        <f t="shared" si="25"/>
        <v>3688182.2356395889</v>
      </c>
      <c r="H116" s="646">
        <f t="shared" si="26"/>
        <v>776469.5613299252</v>
      </c>
      <c r="I116" s="573">
        <f t="shared" si="27"/>
        <v>776469.5613299252</v>
      </c>
      <c r="J116" s="505">
        <f t="shared" si="23"/>
        <v>0</v>
      </c>
      <c r="K116" s="505"/>
      <c r="L116" s="513"/>
      <c r="M116" s="505">
        <f t="shared" si="28"/>
        <v>0</v>
      </c>
      <c r="N116" s="513"/>
      <c r="O116" s="505">
        <f t="shared" si="21"/>
        <v>0</v>
      </c>
      <c r="P116" s="505">
        <f t="shared" si="22"/>
        <v>0</v>
      </c>
      <c r="Q116" s="244"/>
      <c r="R116" s="244"/>
      <c r="S116" s="244"/>
      <c r="T116" s="244"/>
      <c r="U116" s="244"/>
    </row>
    <row r="117" spans="2:21">
      <c r="B117" s="145" t="str">
        <f t="shared" si="17"/>
        <v/>
      </c>
      <c r="C117" s="496">
        <f>IF(D94="","-",+C116+1)</f>
        <v>2032</v>
      </c>
      <c r="D117" s="350">
        <f>IF(F116+SUM(E$100:E116)=D$93,F116,D$93-SUM(E$100:E116))</f>
        <v>3517480.1556395888</v>
      </c>
      <c r="E117" s="510">
        <f>IF(+J97&lt;F116,J97,D117)</f>
        <v>341404.15999999997</v>
      </c>
      <c r="F117" s="511">
        <f t="shared" si="24"/>
        <v>3176075.9956395887</v>
      </c>
      <c r="G117" s="511">
        <f t="shared" si="25"/>
        <v>3346778.0756395888</v>
      </c>
      <c r="H117" s="646">
        <f t="shared" si="26"/>
        <v>736196.83932318632</v>
      </c>
      <c r="I117" s="573">
        <f t="shared" si="27"/>
        <v>736196.83932318632</v>
      </c>
      <c r="J117" s="505">
        <f t="shared" si="23"/>
        <v>0</v>
      </c>
      <c r="K117" s="505"/>
      <c r="L117" s="513"/>
      <c r="M117" s="505">
        <f t="shared" si="28"/>
        <v>0</v>
      </c>
      <c r="N117" s="513"/>
      <c r="O117" s="505">
        <f t="shared" si="21"/>
        <v>0</v>
      </c>
      <c r="P117" s="505">
        <f t="shared" si="22"/>
        <v>0</v>
      </c>
      <c r="Q117" s="244"/>
      <c r="R117" s="244"/>
      <c r="S117" s="244"/>
      <c r="T117" s="244"/>
      <c r="U117" s="244"/>
    </row>
    <row r="118" spans="2:21">
      <c r="B118" s="145" t="str">
        <f t="shared" si="17"/>
        <v/>
      </c>
      <c r="C118" s="496">
        <f>IF(D94="","-",+C117+1)</f>
        <v>2033</v>
      </c>
      <c r="D118" s="350">
        <f>IF(F117+SUM(E$100:E117)=D$93,F117,D$93-SUM(E$100:E117))</f>
        <v>3176075.9956395887</v>
      </c>
      <c r="E118" s="510">
        <f>IF(+J97&lt;F117,J97,D118)</f>
        <v>341404.15999999997</v>
      </c>
      <c r="F118" s="511">
        <f t="shared" si="24"/>
        <v>2834671.8356395885</v>
      </c>
      <c r="G118" s="511">
        <f t="shared" si="25"/>
        <v>3005373.9156395886</v>
      </c>
      <c r="H118" s="646">
        <f t="shared" si="26"/>
        <v>695924.11731644743</v>
      </c>
      <c r="I118" s="573">
        <f t="shared" si="27"/>
        <v>695924.11731644743</v>
      </c>
      <c r="J118" s="505">
        <f t="shared" si="23"/>
        <v>0</v>
      </c>
      <c r="K118" s="505"/>
      <c r="L118" s="513"/>
      <c r="M118" s="505">
        <f t="shared" si="28"/>
        <v>0</v>
      </c>
      <c r="N118" s="513"/>
      <c r="O118" s="505">
        <f t="shared" si="21"/>
        <v>0</v>
      </c>
      <c r="P118" s="505">
        <f t="shared" si="22"/>
        <v>0</v>
      </c>
      <c r="Q118" s="244"/>
      <c r="R118" s="244"/>
      <c r="S118" s="244"/>
      <c r="T118" s="244"/>
      <c r="U118" s="244"/>
    </row>
    <row r="119" spans="2:21">
      <c r="B119" s="145" t="str">
        <f t="shared" si="17"/>
        <v/>
      </c>
      <c r="C119" s="496">
        <f>IF(D94="","-",+C118+1)</f>
        <v>2034</v>
      </c>
      <c r="D119" s="350">
        <f>IF(F118+SUM(E$100:E118)=D$93,F118,D$93-SUM(E$100:E118))</f>
        <v>2834671.8356395885</v>
      </c>
      <c r="E119" s="510">
        <f>IF(+J97&lt;F118,J97,D119)</f>
        <v>341404.15999999997</v>
      </c>
      <c r="F119" s="511">
        <f t="shared" si="24"/>
        <v>2493267.6756395884</v>
      </c>
      <c r="G119" s="511">
        <f t="shared" si="25"/>
        <v>2663969.7556395885</v>
      </c>
      <c r="H119" s="646">
        <f t="shared" si="26"/>
        <v>655651.39530970855</v>
      </c>
      <c r="I119" s="573">
        <f t="shared" si="27"/>
        <v>655651.39530970855</v>
      </c>
      <c r="J119" s="505">
        <f t="shared" si="23"/>
        <v>0</v>
      </c>
      <c r="K119" s="505"/>
      <c r="L119" s="513"/>
      <c r="M119" s="505">
        <f t="shared" si="28"/>
        <v>0</v>
      </c>
      <c r="N119" s="513"/>
      <c r="O119" s="505">
        <f t="shared" si="21"/>
        <v>0</v>
      </c>
      <c r="P119" s="505">
        <f t="shared" si="22"/>
        <v>0</v>
      </c>
      <c r="Q119" s="244"/>
      <c r="R119" s="244"/>
      <c r="S119" s="244"/>
      <c r="T119" s="244"/>
      <c r="U119" s="244"/>
    </row>
    <row r="120" spans="2:21">
      <c r="B120" s="145" t="str">
        <f t="shared" si="17"/>
        <v/>
      </c>
      <c r="C120" s="496">
        <f>IF(D94="","-",+C119+1)</f>
        <v>2035</v>
      </c>
      <c r="D120" s="350">
        <f>IF(F119+SUM(E$100:E119)=D$93,F119,D$93-SUM(E$100:E119))</f>
        <v>2493267.6756395884</v>
      </c>
      <c r="E120" s="510">
        <f>IF(+J97&lt;F119,J97,D120)</f>
        <v>341404.15999999997</v>
      </c>
      <c r="F120" s="511">
        <f t="shared" si="24"/>
        <v>2151863.5156395882</v>
      </c>
      <c r="G120" s="511">
        <f t="shared" si="25"/>
        <v>2322565.5956395883</v>
      </c>
      <c r="H120" s="646">
        <f t="shared" si="26"/>
        <v>615378.67330296955</v>
      </c>
      <c r="I120" s="573">
        <f t="shared" si="27"/>
        <v>615378.67330296955</v>
      </c>
      <c r="J120" s="505">
        <f t="shared" si="23"/>
        <v>0</v>
      </c>
      <c r="K120" s="505"/>
      <c r="L120" s="513"/>
      <c r="M120" s="505">
        <f t="shared" si="28"/>
        <v>0</v>
      </c>
      <c r="N120" s="513"/>
      <c r="O120" s="505">
        <f t="shared" si="21"/>
        <v>0</v>
      </c>
      <c r="P120" s="505">
        <f t="shared" si="22"/>
        <v>0</v>
      </c>
      <c r="Q120" s="244"/>
      <c r="R120" s="244"/>
      <c r="S120" s="244"/>
      <c r="T120" s="244"/>
      <c r="U120" s="244"/>
    </row>
    <row r="121" spans="2:21">
      <c r="B121" s="145" t="str">
        <f t="shared" si="17"/>
        <v/>
      </c>
      <c r="C121" s="496">
        <f>IF(D94="","-",+C120+1)</f>
        <v>2036</v>
      </c>
      <c r="D121" s="350">
        <f>IF(F120+SUM(E$100:E120)=D$93,F120,D$93-SUM(E$100:E120))</f>
        <v>2151863.5156395882</v>
      </c>
      <c r="E121" s="510">
        <f>IF(+J97&lt;F120,J97,D121)</f>
        <v>341404.15999999997</v>
      </c>
      <c r="F121" s="511">
        <f t="shared" si="24"/>
        <v>1810459.3556395883</v>
      </c>
      <c r="G121" s="511">
        <f t="shared" si="25"/>
        <v>1981161.4356395882</v>
      </c>
      <c r="H121" s="646">
        <f t="shared" si="26"/>
        <v>575105.95129623055</v>
      </c>
      <c r="I121" s="573">
        <f t="shared" si="27"/>
        <v>575105.95129623055</v>
      </c>
      <c r="J121" s="505">
        <f t="shared" si="23"/>
        <v>0</v>
      </c>
      <c r="K121" s="505"/>
      <c r="L121" s="513"/>
      <c r="M121" s="505">
        <f t="shared" si="28"/>
        <v>0</v>
      </c>
      <c r="N121" s="513"/>
      <c r="O121" s="505">
        <f t="shared" si="21"/>
        <v>0</v>
      </c>
      <c r="P121" s="505">
        <f t="shared" si="22"/>
        <v>0</v>
      </c>
      <c r="Q121" s="244"/>
      <c r="R121" s="244"/>
      <c r="S121" s="244"/>
      <c r="T121" s="244"/>
      <c r="U121" s="244"/>
    </row>
    <row r="122" spans="2:21">
      <c r="B122" s="145" t="str">
        <f t="shared" si="17"/>
        <v/>
      </c>
      <c r="C122" s="496">
        <f>IF(D94="","-",+C121+1)</f>
        <v>2037</v>
      </c>
      <c r="D122" s="350">
        <f>IF(F121+SUM(E$100:E121)=D$93,F121,D$93-SUM(E$100:E121))</f>
        <v>1810459.3556395883</v>
      </c>
      <c r="E122" s="510">
        <f>IF(+J97&lt;F121,J97,D122)</f>
        <v>341404.15999999997</v>
      </c>
      <c r="F122" s="511">
        <f t="shared" si="24"/>
        <v>1469055.1956395884</v>
      </c>
      <c r="G122" s="511">
        <f t="shared" si="25"/>
        <v>1639757.2756395885</v>
      </c>
      <c r="H122" s="646">
        <f t="shared" si="26"/>
        <v>534833.22928949166</v>
      </c>
      <c r="I122" s="573">
        <f t="shared" si="27"/>
        <v>534833.22928949166</v>
      </c>
      <c r="J122" s="505">
        <f t="shared" si="23"/>
        <v>0</v>
      </c>
      <c r="K122" s="505"/>
      <c r="L122" s="513"/>
      <c r="M122" s="505">
        <f t="shared" si="28"/>
        <v>0</v>
      </c>
      <c r="N122" s="513"/>
      <c r="O122" s="505">
        <f t="shared" si="21"/>
        <v>0</v>
      </c>
      <c r="P122" s="505">
        <f t="shared" si="22"/>
        <v>0</v>
      </c>
      <c r="Q122" s="244"/>
      <c r="R122" s="244"/>
      <c r="S122" s="244"/>
      <c r="T122" s="244"/>
      <c r="U122" s="244"/>
    </row>
    <row r="123" spans="2:21">
      <c r="B123" s="145" t="str">
        <f t="shared" si="17"/>
        <v/>
      </c>
      <c r="C123" s="496">
        <f>IF(D94="","-",+C122+1)</f>
        <v>2038</v>
      </c>
      <c r="D123" s="350">
        <f>IF(F122+SUM(E$100:E122)=D$93,F122,D$93-SUM(E$100:E122))</f>
        <v>1469055.1956395884</v>
      </c>
      <c r="E123" s="510">
        <f>IF(+J97&lt;F122,J97,D123)</f>
        <v>341404.15999999997</v>
      </c>
      <c r="F123" s="511">
        <f t="shared" si="24"/>
        <v>1127651.0356395885</v>
      </c>
      <c r="G123" s="511">
        <f t="shared" si="25"/>
        <v>1298353.1156395883</v>
      </c>
      <c r="H123" s="646">
        <f t="shared" si="26"/>
        <v>494560.50728275278</v>
      </c>
      <c r="I123" s="573">
        <f t="shared" si="27"/>
        <v>494560.50728275278</v>
      </c>
      <c r="J123" s="505">
        <f t="shared" si="23"/>
        <v>0</v>
      </c>
      <c r="K123" s="505"/>
      <c r="L123" s="513"/>
      <c r="M123" s="505">
        <f t="shared" si="28"/>
        <v>0</v>
      </c>
      <c r="N123" s="513"/>
      <c r="O123" s="505">
        <f t="shared" si="21"/>
        <v>0</v>
      </c>
      <c r="P123" s="505">
        <f t="shared" si="22"/>
        <v>0</v>
      </c>
      <c r="Q123" s="244"/>
      <c r="R123" s="244"/>
      <c r="S123" s="244"/>
      <c r="T123" s="244"/>
      <c r="U123" s="244"/>
    </row>
    <row r="124" spans="2:21">
      <c r="B124" s="145" t="str">
        <f t="shared" si="17"/>
        <v/>
      </c>
      <c r="C124" s="496">
        <f>IF(D94="","-",+C123+1)</f>
        <v>2039</v>
      </c>
      <c r="D124" s="350">
        <f>IF(F123+SUM(E$100:E123)=D$93,F123,D$93-SUM(E$100:E123))</f>
        <v>1127651.0356395885</v>
      </c>
      <c r="E124" s="510">
        <f>IF(+J97&lt;F123,J97,D124)</f>
        <v>341404.15999999997</v>
      </c>
      <c r="F124" s="511">
        <f t="shared" si="24"/>
        <v>786246.87563958857</v>
      </c>
      <c r="G124" s="511">
        <f t="shared" si="25"/>
        <v>956948.95563958853</v>
      </c>
      <c r="H124" s="646">
        <f t="shared" si="26"/>
        <v>454287.78527601383</v>
      </c>
      <c r="I124" s="573">
        <f t="shared" si="27"/>
        <v>454287.78527601383</v>
      </c>
      <c r="J124" s="505">
        <f t="shared" si="23"/>
        <v>0</v>
      </c>
      <c r="K124" s="505"/>
      <c r="L124" s="513"/>
      <c r="M124" s="505">
        <f t="shared" si="28"/>
        <v>0</v>
      </c>
      <c r="N124" s="513"/>
      <c r="O124" s="505">
        <f t="shared" si="21"/>
        <v>0</v>
      </c>
      <c r="P124" s="505">
        <f t="shared" si="22"/>
        <v>0</v>
      </c>
      <c r="Q124" s="244"/>
      <c r="R124" s="244"/>
      <c r="S124" s="244"/>
      <c r="T124" s="244"/>
      <c r="U124" s="244"/>
    </row>
    <row r="125" spans="2:21">
      <c r="B125" s="145" t="str">
        <f t="shared" si="17"/>
        <v/>
      </c>
      <c r="C125" s="496">
        <f>IF(D94="","-",+C124+1)</f>
        <v>2040</v>
      </c>
      <c r="D125" s="350">
        <f>IF(F124+SUM(E$100:E124)=D$93,F124,D$93-SUM(E$100:E124))</f>
        <v>786246.87563958857</v>
      </c>
      <c r="E125" s="510">
        <f>IF(+J97&lt;F124,J97,D125)</f>
        <v>341404.15999999997</v>
      </c>
      <c r="F125" s="511">
        <f t="shared" si="24"/>
        <v>444842.7156395886</v>
      </c>
      <c r="G125" s="511">
        <f t="shared" si="25"/>
        <v>615544.79563958861</v>
      </c>
      <c r="H125" s="646">
        <f t="shared" si="26"/>
        <v>414015.06326927495</v>
      </c>
      <c r="I125" s="573">
        <f t="shared" si="27"/>
        <v>414015.06326927495</v>
      </c>
      <c r="J125" s="505">
        <f t="shared" si="23"/>
        <v>0</v>
      </c>
      <c r="K125" s="505"/>
      <c r="L125" s="513"/>
      <c r="M125" s="505">
        <f t="shared" si="28"/>
        <v>0</v>
      </c>
      <c r="N125" s="513"/>
      <c r="O125" s="505">
        <f t="shared" si="21"/>
        <v>0</v>
      </c>
      <c r="P125" s="505">
        <f t="shared" si="22"/>
        <v>0</v>
      </c>
      <c r="Q125" s="244"/>
      <c r="R125" s="244"/>
      <c r="S125" s="244"/>
      <c r="T125" s="244"/>
      <c r="U125" s="244"/>
    </row>
    <row r="126" spans="2:21">
      <c r="B126" s="145" t="str">
        <f t="shared" si="17"/>
        <v/>
      </c>
      <c r="C126" s="496">
        <f>IF(D94="","-",+C125+1)</f>
        <v>2041</v>
      </c>
      <c r="D126" s="350">
        <f>IF(F125+SUM(E$100:E125)=D$93,F125,D$93-SUM(E$100:E125))</f>
        <v>444842.7156395886</v>
      </c>
      <c r="E126" s="510">
        <f>IF(+J97&lt;F125,J97,D126)</f>
        <v>341404.15999999997</v>
      </c>
      <c r="F126" s="511">
        <f t="shared" si="24"/>
        <v>103438.55563958862</v>
      </c>
      <c r="G126" s="511">
        <f t="shared" si="25"/>
        <v>274140.63563958858</v>
      </c>
      <c r="H126" s="646">
        <f t="shared" si="26"/>
        <v>373742.34126253601</v>
      </c>
      <c r="I126" s="573">
        <f t="shared" si="27"/>
        <v>373742.34126253601</v>
      </c>
      <c r="J126" s="505">
        <f t="shared" si="23"/>
        <v>0</v>
      </c>
      <c r="K126" s="505"/>
      <c r="L126" s="513"/>
      <c r="M126" s="505">
        <f t="shared" si="28"/>
        <v>0</v>
      </c>
      <c r="N126" s="513"/>
      <c r="O126" s="505">
        <f t="shared" si="21"/>
        <v>0</v>
      </c>
      <c r="P126" s="505">
        <f t="shared" si="22"/>
        <v>0</v>
      </c>
      <c r="Q126" s="244"/>
      <c r="R126" s="244"/>
      <c r="S126" s="244"/>
      <c r="T126" s="244"/>
      <c r="U126" s="244"/>
    </row>
    <row r="127" spans="2:21">
      <c r="B127" s="145" t="str">
        <f t="shared" si="17"/>
        <v/>
      </c>
      <c r="C127" s="496">
        <f>IF(D94="","-",+C126+1)</f>
        <v>2042</v>
      </c>
      <c r="D127" s="350">
        <f>IF(F126+SUM(E$100:E126)=D$93,F126,D$93-SUM(E$100:E126))</f>
        <v>103438.55563958862</v>
      </c>
      <c r="E127" s="510">
        <f>IF(+J97&lt;F126,J97,D127)</f>
        <v>103438.55563958862</v>
      </c>
      <c r="F127" s="511">
        <f t="shared" si="24"/>
        <v>0</v>
      </c>
      <c r="G127" s="511">
        <f t="shared" si="25"/>
        <v>51719.277819794312</v>
      </c>
      <c r="H127" s="646">
        <f t="shared" si="26"/>
        <v>109539.46576917192</v>
      </c>
      <c r="I127" s="573">
        <f t="shared" si="27"/>
        <v>109539.46576917192</v>
      </c>
      <c r="J127" s="505">
        <f t="shared" si="23"/>
        <v>0</v>
      </c>
      <c r="K127" s="505"/>
      <c r="L127" s="513"/>
      <c r="M127" s="505">
        <f t="shared" si="28"/>
        <v>0</v>
      </c>
      <c r="N127" s="513"/>
      <c r="O127" s="505">
        <f t="shared" si="21"/>
        <v>0</v>
      </c>
      <c r="P127" s="505">
        <f t="shared" si="22"/>
        <v>0</v>
      </c>
      <c r="Q127" s="244"/>
      <c r="R127" s="244"/>
      <c r="S127" s="244"/>
      <c r="T127" s="244"/>
      <c r="U127" s="244"/>
    </row>
    <row r="128" spans="2:21">
      <c r="B128" s="145" t="str">
        <f t="shared" si="17"/>
        <v/>
      </c>
      <c r="C128" s="496">
        <f>IF(D94="","-",+C127+1)</f>
        <v>2043</v>
      </c>
      <c r="D128" s="350">
        <f>IF(F127+SUM(E$100:E127)=D$93,F127,D$93-SUM(E$100:E127))</f>
        <v>0</v>
      </c>
      <c r="E128" s="510">
        <f>IF(+J97&lt;F127,J97,D128)</f>
        <v>0</v>
      </c>
      <c r="F128" s="511">
        <f t="shared" si="24"/>
        <v>0</v>
      </c>
      <c r="G128" s="511">
        <f t="shared" si="25"/>
        <v>0</v>
      </c>
      <c r="H128" s="646">
        <f t="shared" si="26"/>
        <v>0</v>
      </c>
      <c r="I128" s="573">
        <f t="shared" si="27"/>
        <v>0</v>
      </c>
      <c r="J128" s="505">
        <f t="shared" si="23"/>
        <v>0</v>
      </c>
      <c r="K128" s="505"/>
      <c r="L128" s="513"/>
      <c r="M128" s="505">
        <f t="shared" si="28"/>
        <v>0</v>
      </c>
      <c r="N128" s="513"/>
      <c r="O128" s="505">
        <f t="shared" si="21"/>
        <v>0</v>
      </c>
      <c r="P128" s="505">
        <f t="shared" si="22"/>
        <v>0</v>
      </c>
      <c r="Q128" s="244"/>
      <c r="R128" s="244"/>
      <c r="S128" s="244"/>
      <c r="T128" s="244"/>
      <c r="U128" s="244"/>
    </row>
    <row r="129" spans="2:21">
      <c r="B129" s="145" t="str">
        <f t="shared" si="17"/>
        <v/>
      </c>
      <c r="C129" s="496">
        <f>IF(D94="","-",+C128+1)</f>
        <v>2044</v>
      </c>
      <c r="D129" s="350">
        <f>IF(F128+SUM(E$100:E128)=D$93,F128,D$93-SUM(E$100:E128))</f>
        <v>0</v>
      </c>
      <c r="E129" s="510">
        <f>IF(+J97&lt;F128,J97,D129)</f>
        <v>0</v>
      </c>
      <c r="F129" s="511">
        <f t="shared" si="24"/>
        <v>0</v>
      </c>
      <c r="G129" s="511">
        <f t="shared" si="25"/>
        <v>0</v>
      </c>
      <c r="H129" s="646">
        <f t="shared" si="26"/>
        <v>0</v>
      </c>
      <c r="I129" s="573">
        <f t="shared" si="27"/>
        <v>0</v>
      </c>
      <c r="J129" s="505">
        <f t="shared" si="23"/>
        <v>0</v>
      </c>
      <c r="K129" s="505"/>
      <c r="L129" s="513"/>
      <c r="M129" s="505">
        <f t="shared" si="28"/>
        <v>0</v>
      </c>
      <c r="N129" s="513"/>
      <c r="O129" s="505">
        <f t="shared" si="21"/>
        <v>0</v>
      </c>
      <c r="P129" s="505">
        <f t="shared" si="22"/>
        <v>0</v>
      </c>
      <c r="Q129" s="244"/>
      <c r="R129" s="244"/>
      <c r="S129" s="244"/>
      <c r="T129" s="244"/>
      <c r="U129" s="244"/>
    </row>
    <row r="130" spans="2:21">
      <c r="B130" s="145" t="str">
        <f t="shared" si="17"/>
        <v/>
      </c>
      <c r="C130" s="496">
        <f>IF(D94="","-",+C129+1)</f>
        <v>2045</v>
      </c>
      <c r="D130" s="350">
        <f>IF(F129+SUM(E$100:E129)=D$93,F129,D$93-SUM(E$100:E129))</f>
        <v>0</v>
      </c>
      <c r="E130" s="510">
        <f>IF(+J97&lt;F129,J97,D130)</f>
        <v>0</v>
      </c>
      <c r="F130" s="511">
        <f t="shared" si="24"/>
        <v>0</v>
      </c>
      <c r="G130" s="511">
        <f t="shared" si="25"/>
        <v>0</v>
      </c>
      <c r="H130" s="646">
        <f t="shared" si="26"/>
        <v>0</v>
      </c>
      <c r="I130" s="573">
        <f t="shared" si="27"/>
        <v>0</v>
      </c>
      <c r="J130" s="505">
        <f t="shared" si="23"/>
        <v>0</v>
      </c>
      <c r="K130" s="505"/>
      <c r="L130" s="513"/>
      <c r="M130" s="505">
        <f t="shared" si="28"/>
        <v>0</v>
      </c>
      <c r="N130" s="513"/>
      <c r="O130" s="505">
        <f t="shared" si="21"/>
        <v>0</v>
      </c>
      <c r="P130" s="505">
        <f t="shared" si="22"/>
        <v>0</v>
      </c>
      <c r="Q130" s="244"/>
      <c r="R130" s="244"/>
      <c r="S130" s="244"/>
      <c r="T130" s="244"/>
      <c r="U130" s="244"/>
    </row>
    <row r="131" spans="2:21">
      <c r="B131" s="145" t="str">
        <f t="shared" si="17"/>
        <v/>
      </c>
      <c r="C131" s="496">
        <f>IF(D94="","-",+C130+1)</f>
        <v>2046</v>
      </c>
      <c r="D131" s="350">
        <f>IF(F130+SUM(E$100:E130)=D$93,F130,D$93-SUM(E$100:E130))</f>
        <v>0</v>
      </c>
      <c r="E131" s="510">
        <f>IF(+J97&lt;F130,J97,D131)</f>
        <v>0</v>
      </c>
      <c r="F131" s="511">
        <f t="shared" si="24"/>
        <v>0</v>
      </c>
      <c r="G131" s="511">
        <f t="shared" si="25"/>
        <v>0</v>
      </c>
      <c r="H131" s="646">
        <f t="shared" si="26"/>
        <v>0</v>
      </c>
      <c r="I131" s="573">
        <f t="shared" si="27"/>
        <v>0</v>
      </c>
      <c r="J131" s="505">
        <f t="shared" si="23"/>
        <v>0</v>
      </c>
      <c r="K131" s="505"/>
      <c r="L131" s="513"/>
      <c r="M131" s="505">
        <f t="shared" si="28"/>
        <v>0</v>
      </c>
      <c r="N131" s="513"/>
      <c r="O131" s="505">
        <f t="shared" si="21"/>
        <v>0</v>
      </c>
      <c r="P131" s="505">
        <f t="shared" si="22"/>
        <v>0</v>
      </c>
      <c r="Q131" s="244"/>
      <c r="R131" s="244"/>
      <c r="S131" s="244"/>
      <c r="T131" s="244"/>
      <c r="U131" s="244"/>
    </row>
    <row r="132" spans="2:21">
      <c r="B132" s="145" t="str">
        <f t="shared" si="17"/>
        <v/>
      </c>
      <c r="C132" s="496">
        <f>IF(D94="","-",+C131+1)</f>
        <v>2047</v>
      </c>
      <c r="D132" s="350">
        <f>IF(F131+SUM(E$100:E131)=D$93,F131,D$93-SUM(E$100:E131))</f>
        <v>0</v>
      </c>
      <c r="E132" s="510">
        <f>IF(+J97&lt;F131,J97,D132)</f>
        <v>0</v>
      </c>
      <c r="F132" s="511">
        <f t="shared" si="24"/>
        <v>0</v>
      </c>
      <c r="G132" s="511">
        <f t="shared" si="25"/>
        <v>0</v>
      </c>
      <c r="H132" s="646">
        <f t="shared" si="26"/>
        <v>0</v>
      </c>
      <c r="I132" s="573">
        <f t="shared" si="27"/>
        <v>0</v>
      </c>
      <c r="J132" s="505">
        <f t="shared" ref="J132:J155" si="29">+I542-H542</f>
        <v>0</v>
      </c>
      <c r="K132" s="505"/>
      <c r="L132" s="513"/>
      <c r="M132" s="505">
        <f t="shared" ref="M132:M155" si="30">IF(L542&lt;&gt;0,+H542-L542,0)</f>
        <v>0</v>
      </c>
      <c r="N132" s="513"/>
      <c r="O132" s="505">
        <f t="shared" ref="O132:O155" si="31">IF(N542&lt;&gt;0,+I542-N542,0)</f>
        <v>0</v>
      </c>
      <c r="P132" s="505">
        <f t="shared" ref="P132:P155" si="32">+O542-M542</f>
        <v>0</v>
      </c>
      <c r="Q132" s="244"/>
      <c r="R132" s="244"/>
      <c r="S132" s="244"/>
      <c r="T132" s="244"/>
      <c r="U132" s="244"/>
    </row>
    <row r="133" spans="2:21">
      <c r="B133" s="145" t="str">
        <f t="shared" si="17"/>
        <v/>
      </c>
      <c r="C133" s="496">
        <f>IF(D94="","-",+C132+1)</f>
        <v>2048</v>
      </c>
      <c r="D133" s="350">
        <f>IF(F132+SUM(E$100:E132)=D$93,F132,D$93-SUM(E$100:E132))</f>
        <v>0</v>
      </c>
      <c r="E133" s="510">
        <f>IF(+J97&lt;F132,J97,D133)</f>
        <v>0</v>
      </c>
      <c r="F133" s="511">
        <f t="shared" si="24"/>
        <v>0</v>
      </c>
      <c r="G133" s="511">
        <f t="shared" si="25"/>
        <v>0</v>
      </c>
      <c r="H133" s="646">
        <f t="shared" si="26"/>
        <v>0</v>
      </c>
      <c r="I133" s="573">
        <f t="shared" si="27"/>
        <v>0</v>
      </c>
      <c r="J133" s="505">
        <f t="shared" si="29"/>
        <v>0</v>
      </c>
      <c r="K133" s="505"/>
      <c r="L133" s="513"/>
      <c r="M133" s="505">
        <f t="shared" si="30"/>
        <v>0</v>
      </c>
      <c r="N133" s="513"/>
      <c r="O133" s="505">
        <f t="shared" si="31"/>
        <v>0</v>
      </c>
      <c r="P133" s="505">
        <f t="shared" si="32"/>
        <v>0</v>
      </c>
      <c r="Q133" s="244"/>
      <c r="R133" s="244"/>
      <c r="S133" s="244"/>
      <c r="T133" s="244"/>
      <c r="U133" s="244"/>
    </row>
    <row r="134" spans="2:21">
      <c r="B134" s="145" t="str">
        <f t="shared" si="17"/>
        <v/>
      </c>
      <c r="C134" s="496">
        <f>IF(D94="","-",+C133+1)</f>
        <v>2049</v>
      </c>
      <c r="D134" s="350">
        <f>IF(F133+SUM(E$100:E133)=D$93,F133,D$93-SUM(E$100:E133))</f>
        <v>0</v>
      </c>
      <c r="E134" s="510">
        <f>IF(+J97&lt;F133,J97,D134)</f>
        <v>0</v>
      </c>
      <c r="F134" s="511">
        <f t="shared" si="24"/>
        <v>0</v>
      </c>
      <c r="G134" s="511">
        <f t="shared" si="25"/>
        <v>0</v>
      </c>
      <c r="H134" s="646">
        <f t="shared" si="26"/>
        <v>0</v>
      </c>
      <c r="I134" s="573">
        <f t="shared" si="27"/>
        <v>0</v>
      </c>
      <c r="J134" s="505">
        <f t="shared" si="29"/>
        <v>0</v>
      </c>
      <c r="K134" s="505"/>
      <c r="L134" s="513"/>
      <c r="M134" s="505">
        <f t="shared" si="30"/>
        <v>0</v>
      </c>
      <c r="N134" s="513"/>
      <c r="O134" s="505">
        <f t="shared" si="31"/>
        <v>0</v>
      </c>
      <c r="P134" s="505">
        <f t="shared" si="32"/>
        <v>0</v>
      </c>
      <c r="Q134" s="244"/>
      <c r="R134" s="244"/>
      <c r="S134" s="244"/>
      <c r="T134" s="244"/>
      <c r="U134" s="244"/>
    </row>
    <row r="135" spans="2:21">
      <c r="B135" s="145" t="str">
        <f t="shared" si="17"/>
        <v/>
      </c>
      <c r="C135" s="496">
        <f>IF(D94="","-",+C134+1)</f>
        <v>2050</v>
      </c>
      <c r="D135" s="350">
        <f>IF(F134+SUM(E$100:E134)=D$93,F134,D$93-SUM(E$100:E134))</f>
        <v>0</v>
      </c>
      <c r="E135" s="510">
        <f>IF(+J97&lt;F134,J97,D135)</f>
        <v>0</v>
      </c>
      <c r="F135" s="511">
        <f t="shared" si="24"/>
        <v>0</v>
      </c>
      <c r="G135" s="511">
        <f t="shared" si="25"/>
        <v>0</v>
      </c>
      <c r="H135" s="646">
        <f t="shared" si="26"/>
        <v>0</v>
      </c>
      <c r="I135" s="573">
        <f t="shared" si="27"/>
        <v>0</v>
      </c>
      <c r="J135" s="505">
        <f t="shared" si="29"/>
        <v>0</v>
      </c>
      <c r="K135" s="505"/>
      <c r="L135" s="513"/>
      <c r="M135" s="505">
        <f t="shared" si="30"/>
        <v>0</v>
      </c>
      <c r="N135" s="513"/>
      <c r="O135" s="505">
        <f t="shared" si="31"/>
        <v>0</v>
      </c>
      <c r="P135" s="505">
        <f t="shared" si="32"/>
        <v>0</v>
      </c>
      <c r="Q135" s="244"/>
      <c r="R135" s="244"/>
      <c r="S135" s="244"/>
      <c r="T135" s="244"/>
      <c r="U135" s="244"/>
    </row>
    <row r="136" spans="2:21">
      <c r="B136" s="145" t="str">
        <f t="shared" si="17"/>
        <v/>
      </c>
      <c r="C136" s="496">
        <f>IF(D94="","-",+C135+1)</f>
        <v>2051</v>
      </c>
      <c r="D136" s="350">
        <f>IF(F135+SUM(E$100:E135)=D$93,F135,D$93-SUM(E$100:E135))</f>
        <v>0</v>
      </c>
      <c r="E136" s="510">
        <f>IF(+J97&lt;F135,J97,D136)</f>
        <v>0</v>
      </c>
      <c r="F136" s="511">
        <f t="shared" si="24"/>
        <v>0</v>
      </c>
      <c r="G136" s="511">
        <f t="shared" si="25"/>
        <v>0</v>
      </c>
      <c r="H136" s="646">
        <f t="shared" si="26"/>
        <v>0</v>
      </c>
      <c r="I136" s="573">
        <f t="shared" si="27"/>
        <v>0</v>
      </c>
      <c r="J136" s="505">
        <f t="shared" si="29"/>
        <v>0</v>
      </c>
      <c r="K136" s="505"/>
      <c r="L136" s="513"/>
      <c r="M136" s="505">
        <f t="shared" si="30"/>
        <v>0</v>
      </c>
      <c r="N136" s="513"/>
      <c r="O136" s="505">
        <f t="shared" si="31"/>
        <v>0</v>
      </c>
      <c r="P136" s="505">
        <f t="shared" si="32"/>
        <v>0</v>
      </c>
      <c r="Q136" s="244"/>
      <c r="R136" s="244"/>
      <c r="S136" s="244"/>
      <c r="T136" s="244"/>
      <c r="U136" s="244"/>
    </row>
    <row r="137" spans="2:21">
      <c r="B137" s="145" t="str">
        <f t="shared" si="17"/>
        <v/>
      </c>
      <c r="C137" s="496">
        <f>IF(D94="","-",+C136+1)</f>
        <v>2052</v>
      </c>
      <c r="D137" s="350">
        <f>IF(F136+SUM(E$100:E136)=D$93,F136,D$93-SUM(E$100:E136))</f>
        <v>0</v>
      </c>
      <c r="E137" s="510">
        <f>IF(+J97&lt;F136,J97,D137)</f>
        <v>0</v>
      </c>
      <c r="F137" s="511">
        <f t="shared" si="24"/>
        <v>0</v>
      </c>
      <c r="G137" s="511">
        <f t="shared" si="25"/>
        <v>0</v>
      </c>
      <c r="H137" s="646">
        <f t="shared" si="26"/>
        <v>0</v>
      </c>
      <c r="I137" s="573">
        <f t="shared" si="27"/>
        <v>0</v>
      </c>
      <c r="J137" s="505">
        <f t="shared" si="29"/>
        <v>0</v>
      </c>
      <c r="K137" s="505"/>
      <c r="L137" s="513"/>
      <c r="M137" s="505">
        <f t="shared" si="30"/>
        <v>0</v>
      </c>
      <c r="N137" s="513"/>
      <c r="O137" s="505">
        <f t="shared" si="31"/>
        <v>0</v>
      </c>
      <c r="P137" s="505">
        <f t="shared" si="32"/>
        <v>0</v>
      </c>
      <c r="Q137" s="244"/>
      <c r="R137" s="244"/>
      <c r="S137" s="244"/>
      <c r="T137" s="244"/>
      <c r="U137" s="244"/>
    </row>
    <row r="138" spans="2:21">
      <c r="B138" s="145" t="str">
        <f t="shared" si="17"/>
        <v/>
      </c>
      <c r="C138" s="496">
        <f>IF(D94="","-",+C137+1)</f>
        <v>2053</v>
      </c>
      <c r="D138" s="350">
        <f>IF(F137+SUM(E$100:E137)=D$93,F137,D$93-SUM(E$100:E137))</f>
        <v>0</v>
      </c>
      <c r="E138" s="510">
        <f>IF(+J97&lt;F137,J97,D138)</f>
        <v>0</v>
      </c>
      <c r="F138" s="511">
        <f t="shared" si="24"/>
        <v>0</v>
      </c>
      <c r="G138" s="511">
        <f t="shared" si="25"/>
        <v>0</v>
      </c>
      <c r="H138" s="646">
        <f t="shared" si="26"/>
        <v>0</v>
      </c>
      <c r="I138" s="573">
        <f t="shared" si="27"/>
        <v>0</v>
      </c>
      <c r="J138" s="505">
        <f t="shared" si="29"/>
        <v>0</v>
      </c>
      <c r="K138" s="505"/>
      <c r="L138" s="513"/>
      <c r="M138" s="505">
        <f t="shared" si="30"/>
        <v>0</v>
      </c>
      <c r="N138" s="513"/>
      <c r="O138" s="505">
        <f t="shared" si="31"/>
        <v>0</v>
      </c>
      <c r="P138" s="505">
        <f t="shared" si="32"/>
        <v>0</v>
      </c>
      <c r="Q138" s="244"/>
      <c r="R138" s="244"/>
      <c r="S138" s="244"/>
      <c r="T138" s="244"/>
      <c r="U138" s="244"/>
    </row>
    <row r="139" spans="2:21">
      <c r="B139" s="145" t="str">
        <f t="shared" si="17"/>
        <v/>
      </c>
      <c r="C139" s="496">
        <f>IF(D94="","-",+C138+1)</f>
        <v>2054</v>
      </c>
      <c r="D139" s="350">
        <f>IF(F138+SUM(E$100:E138)=D$93,F138,D$93-SUM(E$100:E138))</f>
        <v>0</v>
      </c>
      <c r="E139" s="510">
        <f>IF(+J97&lt;F138,J97,D139)</f>
        <v>0</v>
      </c>
      <c r="F139" s="511">
        <f t="shared" si="24"/>
        <v>0</v>
      </c>
      <c r="G139" s="511">
        <f t="shared" si="25"/>
        <v>0</v>
      </c>
      <c r="H139" s="646">
        <f t="shared" si="26"/>
        <v>0</v>
      </c>
      <c r="I139" s="573">
        <f t="shared" si="27"/>
        <v>0</v>
      </c>
      <c r="J139" s="505">
        <f t="shared" si="29"/>
        <v>0</v>
      </c>
      <c r="K139" s="505"/>
      <c r="L139" s="513"/>
      <c r="M139" s="505">
        <f t="shared" si="30"/>
        <v>0</v>
      </c>
      <c r="N139" s="513"/>
      <c r="O139" s="505">
        <f t="shared" si="31"/>
        <v>0</v>
      </c>
      <c r="P139" s="505">
        <f t="shared" si="32"/>
        <v>0</v>
      </c>
      <c r="Q139" s="244"/>
      <c r="R139" s="244"/>
      <c r="S139" s="244"/>
      <c r="T139" s="244"/>
      <c r="U139" s="244"/>
    </row>
    <row r="140" spans="2:21">
      <c r="B140" s="145" t="str">
        <f t="shared" si="17"/>
        <v/>
      </c>
      <c r="C140" s="496">
        <f>IF(D94="","-",+C139+1)</f>
        <v>2055</v>
      </c>
      <c r="D140" s="350">
        <f>IF(F139+SUM(E$100:E139)=D$93,F139,D$93-SUM(E$100:E139))</f>
        <v>0</v>
      </c>
      <c r="E140" s="510">
        <f>IF(+J97&lt;F139,J97,D140)</f>
        <v>0</v>
      </c>
      <c r="F140" s="511">
        <f t="shared" si="24"/>
        <v>0</v>
      </c>
      <c r="G140" s="511">
        <f t="shared" si="25"/>
        <v>0</v>
      </c>
      <c r="H140" s="646">
        <f t="shared" si="26"/>
        <v>0</v>
      </c>
      <c r="I140" s="573">
        <f t="shared" si="27"/>
        <v>0</v>
      </c>
      <c r="J140" s="505">
        <f t="shared" si="29"/>
        <v>0</v>
      </c>
      <c r="K140" s="505"/>
      <c r="L140" s="513"/>
      <c r="M140" s="505">
        <f t="shared" si="30"/>
        <v>0</v>
      </c>
      <c r="N140" s="513"/>
      <c r="O140" s="505">
        <f t="shared" si="31"/>
        <v>0</v>
      </c>
      <c r="P140" s="505">
        <f t="shared" si="32"/>
        <v>0</v>
      </c>
      <c r="Q140" s="244"/>
      <c r="R140" s="244"/>
      <c r="S140" s="244"/>
      <c r="T140" s="244"/>
      <c r="U140" s="244"/>
    </row>
    <row r="141" spans="2:21">
      <c r="B141" s="145" t="str">
        <f t="shared" si="17"/>
        <v/>
      </c>
      <c r="C141" s="496">
        <f>IF(D94="","-",+C140+1)</f>
        <v>2056</v>
      </c>
      <c r="D141" s="350">
        <f>IF(F140+SUM(E$100:E140)=D$93,F140,D$93-SUM(E$100:E140))</f>
        <v>0</v>
      </c>
      <c r="E141" s="510">
        <f>IF(+J97&lt;F140,J97,D141)</f>
        <v>0</v>
      </c>
      <c r="F141" s="511">
        <f t="shared" si="24"/>
        <v>0</v>
      </c>
      <c r="G141" s="511">
        <f t="shared" si="25"/>
        <v>0</v>
      </c>
      <c r="H141" s="646">
        <f t="shared" si="26"/>
        <v>0</v>
      </c>
      <c r="I141" s="573">
        <f t="shared" si="27"/>
        <v>0</v>
      </c>
      <c r="J141" s="505">
        <f t="shared" si="29"/>
        <v>0</v>
      </c>
      <c r="K141" s="505"/>
      <c r="L141" s="513"/>
      <c r="M141" s="505">
        <f t="shared" si="30"/>
        <v>0</v>
      </c>
      <c r="N141" s="513"/>
      <c r="O141" s="505">
        <f t="shared" si="31"/>
        <v>0</v>
      </c>
      <c r="P141" s="505">
        <f t="shared" si="32"/>
        <v>0</v>
      </c>
      <c r="Q141" s="244"/>
      <c r="R141" s="244"/>
      <c r="S141" s="244"/>
      <c r="T141" s="244"/>
      <c r="U141" s="244"/>
    </row>
    <row r="142" spans="2:21">
      <c r="B142" s="145" t="str">
        <f t="shared" si="17"/>
        <v/>
      </c>
      <c r="C142" s="496">
        <f>IF(D94="","-",+C141+1)</f>
        <v>2057</v>
      </c>
      <c r="D142" s="350">
        <f>IF(F141+SUM(E$100:E141)=D$93,F141,D$93-SUM(E$100:E141))</f>
        <v>0</v>
      </c>
      <c r="E142" s="510">
        <f>IF(+J97&lt;F141,J97,D142)</f>
        <v>0</v>
      </c>
      <c r="F142" s="511">
        <f t="shared" si="24"/>
        <v>0</v>
      </c>
      <c r="G142" s="511">
        <f t="shared" si="25"/>
        <v>0</v>
      </c>
      <c r="H142" s="646">
        <f t="shared" si="26"/>
        <v>0</v>
      </c>
      <c r="I142" s="573">
        <f t="shared" si="27"/>
        <v>0</v>
      </c>
      <c r="J142" s="505">
        <f t="shared" si="29"/>
        <v>0</v>
      </c>
      <c r="K142" s="505"/>
      <c r="L142" s="513"/>
      <c r="M142" s="505">
        <f t="shared" si="30"/>
        <v>0</v>
      </c>
      <c r="N142" s="513"/>
      <c r="O142" s="505">
        <f t="shared" si="31"/>
        <v>0</v>
      </c>
      <c r="P142" s="505">
        <f t="shared" si="32"/>
        <v>0</v>
      </c>
      <c r="Q142" s="244"/>
      <c r="R142" s="244"/>
      <c r="S142" s="244"/>
      <c r="T142" s="244"/>
      <c r="U142" s="244"/>
    </row>
    <row r="143" spans="2:21">
      <c r="B143" s="145" t="str">
        <f t="shared" si="17"/>
        <v/>
      </c>
      <c r="C143" s="496">
        <f>IF(D94="","-",+C142+1)</f>
        <v>2058</v>
      </c>
      <c r="D143" s="350">
        <f>IF(F142+SUM(E$100:E142)=D$93,F142,D$93-SUM(E$100:E142))</f>
        <v>0</v>
      </c>
      <c r="E143" s="510">
        <f>IF(+J97&lt;F142,J97,D143)</f>
        <v>0</v>
      </c>
      <c r="F143" s="511">
        <f t="shared" si="24"/>
        <v>0</v>
      </c>
      <c r="G143" s="511">
        <f t="shared" si="25"/>
        <v>0</v>
      </c>
      <c r="H143" s="646">
        <f t="shared" si="26"/>
        <v>0</v>
      </c>
      <c r="I143" s="573">
        <f t="shared" si="27"/>
        <v>0</v>
      </c>
      <c r="J143" s="505">
        <f t="shared" si="29"/>
        <v>0</v>
      </c>
      <c r="K143" s="505"/>
      <c r="L143" s="513"/>
      <c r="M143" s="505">
        <f t="shared" si="30"/>
        <v>0</v>
      </c>
      <c r="N143" s="513"/>
      <c r="O143" s="505">
        <f t="shared" si="31"/>
        <v>0</v>
      </c>
      <c r="P143" s="505">
        <f t="shared" si="32"/>
        <v>0</v>
      </c>
      <c r="Q143" s="244"/>
      <c r="R143" s="244"/>
      <c r="S143" s="244"/>
      <c r="T143" s="244"/>
      <c r="U143" s="244"/>
    </row>
    <row r="144" spans="2:21">
      <c r="B144" s="145" t="str">
        <f t="shared" si="17"/>
        <v/>
      </c>
      <c r="C144" s="496">
        <f>IF(D94="","-",+C143+1)</f>
        <v>2059</v>
      </c>
      <c r="D144" s="350">
        <f>IF(F143+SUM(E$100:E143)=D$93,F143,D$93-SUM(E$100:E143))</f>
        <v>0</v>
      </c>
      <c r="E144" s="510">
        <f>IF(+J97&lt;F143,J97,D144)</f>
        <v>0</v>
      </c>
      <c r="F144" s="511">
        <f t="shared" si="24"/>
        <v>0</v>
      </c>
      <c r="G144" s="511">
        <f t="shared" si="25"/>
        <v>0</v>
      </c>
      <c r="H144" s="646">
        <f t="shared" si="26"/>
        <v>0</v>
      </c>
      <c r="I144" s="573">
        <f t="shared" si="27"/>
        <v>0</v>
      </c>
      <c r="J144" s="505">
        <f t="shared" si="29"/>
        <v>0</v>
      </c>
      <c r="K144" s="505"/>
      <c r="L144" s="513"/>
      <c r="M144" s="505">
        <f t="shared" si="30"/>
        <v>0</v>
      </c>
      <c r="N144" s="513"/>
      <c r="O144" s="505">
        <f t="shared" si="31"/>
        <v>0</v>
      </c>
      <c r="P144" s="505">
        <f t="shared" si="32"/>
        <v>0</v>
      </c>
      <c r="Q144" s="244"/>
      <c r="R144" s="244"/>
      <c r="S144" s="244"/>
      <c r="T144" s="244"/>
      <c r="U144" s="244"/>
    </row>
    <row r="145" spans="2:21">
      <c r="B145" s="145" t="str">
        <f t="shared" si="17"/>
        <v/>
      </c>
      <c r="C145" s="496">
        <f>IF(D94="","-",+C144+1)</f>
        <v>2060</v>
      </c>
      <c r="D145" s="350">
        <f>IF(F144+SUM(E$100:E144)=D$93,F144,D$93-SUM(E$100:E144))</f>
        <v>0</v>
      </c>
      <c r="E145" s="510">
        <f>IF(+J97&lt;F144,J97,D145)</f>
        <v>0</v>
      </c>
      <c r="F145" s="511">
        <f t="shared" si="24"/>
        <v>0</v>
      </c>
      <c r="G145" s="511">
        <f t="shared" si="25"/>
        <v>0</v>
      </c>
      <c r="H145" s="646">
        <f t="shared" si="26"/>
        <v>0</v>
      </c>
      <c r="I145" s="573">
        <f t="shared" si="27"/>
        <v>0</v>
      </c>
      <c r="J145" s="505">
        <f t="shared" si="29"/>
        <v>0</v>
      </c>
      <c r="K145" s="505"/>
      <c r="L145" s="513"/>
      <c r="M145" s="505">
        <f t="shared" si="30"/>
        <v>0</v>
      </c>
      <c r="N145" s="513"/>
      <c r="O145" s="505">
        <f t="shared" si="31"/>
        <v>0</v>
      </c>
      <c r="P145" s="505">
        <f t="shared" si="32"/>
        <v>0</v>
      </c>
      <c r="Q145" s="244"/>
      <c r="R145" s="244"/>
      <c r="S145" s="244"/>
      <c r="T145" s="244"/>
      <c r="U145" s="244"/>
    </row>
    <row r="146" spans="2:21">
      <c r="B146" s="145" t="str">
        <f t="shared" si="17"/>
        <v/>
      </c>
      <c r="C146" s="496">
        <f>IF(D94="","-",+C145+1)</f>
        <v>2061</v>
      </c>
      <c r="D146" s="350">
        <f>IF(F145+SUM(E$100:E145)=D$93,F145,D$93-SUM(E$100:E145))</f>
        <v>0</v>
      </c>
      <c r="E146" s="510">
        <f>IF(+J97&lt;F145,J97,D146)</f>
        <v>0</v>
      </c>
      <c r="F146" s="511">
        <f t="shared" si="24"/>
        <v>0</v>
      </c>
      <c r="G146" s="511">
        <f t="shared" si="25"/>
        <v>0</v>
      </c>
      <c r="H146" s="646">
        <f t="shared" si="26"/>
        <v>0</v>
      </c>
      <c r="I146" s="573">
        <f t="shared" si="27"/>
        <v>0</v>
      </c>
      <c r="J146" s="505">
        <f t="shared" si="29"/>
        <v>0</v>
      </c>
      <c r="K146" s="505"/>
      <c r="L146" s="513"/>
      <c r="M146" s="505">
        <f t="shared" si="30"/>
        <v>0</v>
      </c>
      <c r="N146" s="513"/>
      <c r="O146" s="505">
        <f t="shared" si="31"/>
        <v>0</v>
      </c>
      <c r="P146" s="505">
        <f t="shared" si="32"/>
        <v>0</v>
      </c>
      <c r="Q146" s="244"/>
      <c r="R146" s="244"/>
      <c r="S146" s="244"/>
      <c r="T146" s="244"/>
      <c r="U146" s="244"/>
    </row>
    <row r="147" spans="2:21">
      <c r="B147" s="145" t="str">
        <f t="shared" si="17"/>
        <v/>
      </c>
      <c r="C147" s="496">
        <f>IF(D94="","-",+C146+1)</f>
        <v>2062</v>
      </c>
      <c r="D147" s="350">
        <f>IF(F146+SUM(E$100:E146)=D$93,F146,D$93-SUM(E$100:E146))</f>
        <v>0</v>
      </c>
      <c r="E147" s="510">
        <f>IF(+J97&lt;F146,J97,D147)</f>
        <v>0</v>
      </c>
      <c r="F147" s="511">
        <f t="shared" si="24"/>
        <v>0</v>
      </c>
      <c r="G147" s="511">
        <f t="shared" si="25"/>
        <v>0</v>
      </c>
      <c r="H147" s="646">
        <f t="shared" si="26"/>
        <v>0</v>
      </c>
      <c r="I147" s="573">
        <f t="shared" si="27"/>
        <v>0</v>
      </c>
      <c r="J147" s="505">
        <f t="shared" si="29"/>
        <v>0</v>
      </c>
      <c r="K147" s="505"/>
      <c r="L147" s="513"/>
      <c r="M147" s="505">
        <f t="shared" si="30"/>
        <v>0</v>
      </c>
      <c r="N147" s="513"/>
      <c r="O147" s="505">
        <f t="shared" si="31"/>
        <v>0</v>
      </c>
      <c r="P147" s="505">
        <f t="shared" si="32"/>
        <v>0</v>
      </c>
      <c r="Q147" s="244"/>
      <c r="R147" s="244"/>
      <c r="S147" s="244"/>
      <c r="T147" s="244"/>
      <c r="U147" s="244"/>
    </row>
    <row r="148" spans="2:21">
      <c r="B148" s="145" t="str">
        <f t="shared" si="17"/>
        <v/>
      </c>
      <c r="C148" s="496">
        <f>IF(D94="","-",+C147+1)</f>
        <v>2063</v>
      </c>
      <c r="D148" s="350">
        <f>IF(F147+SUM(E$100:E147)=D$93,F147,D$93-SUM(E$100:E147))</f>
        <v>0</v>
      </c>
      <c r="E148" s="510">
        <f>IF(+J97&lt;F147,J97,D148)</f>
        <v>0</v>
      </c>
      <c r="F148" s="511">
        <f t="shared" si="24"/>
        <v>0</v>
      </c>
      <c r="G148" s="511">
        <f t="shared" si="25"/>
        <v>0</v>
      </c>
      <c r="H148" s="646">
        <f t="shared" si="26"/>
        <v>0</v>
      </c>
      <c r="I148" s="573">
        <f t="shared" si="27"/>
        <v>0</v>
      </c>
      <c r="J148" s="505">
        <f t="shared" si="29"/>
        <v>0</v>
      </c>
      <c r="K148" s="505"/>
      <c r="L148" s="513"/>
      <c r="M148" s="505">
        <f t="shared" si="30"/>
        <v>0</v>
      </c>
      <c r="N148" s="513"/>
      <c r="O148" s="505">
        <f t="shared" si="31"/>
        <v>0</v>
      </c>
      <c r="P148" s="505">
        <f t="shared" si="32"/>
        <v>0</v>
      </c>
      <c r="Q148" s="244"/>
      <c r="R148" s="244"/>
      <c r="S148" s="244"/>
      <c r="T148" s="244"/>
      <c r="U148" s="244"/>
    </row>
    <row r="149" spans="2:21">
      <c r="B149" s="145" t="str">
        <f t="shared" si="17"/>
        <v/>
      </c>
      <c r="C149" s="496">
        <f>IF(D94="","-",+C148+1)</f>
        <v>2064</v>
      </c>
      <c r="D149" s="350">
        <f>IF(F148+SUM(E$100:E148)=D$93,F148,D$93-SUM(E$100:E148))</f>
        <v>0</v>
      </c>
      <c r="E149" s="510">
        <f>IF(+J97&lt;F148,J97,D149)</f>
        <v>0</v>
      </c>
      <c r="F149" s="511">
        <f t="shared" si="24"/>
        <v>0</v>
      </c>
      <c r="G149" s="511">
        <f t="shared" si="25"/>
        <v>0</v>
      </c>
      <c r="H149" s="646">
        <f t="shared" si="26"/>
        <v>0</v>
      </c>
      <c r="I149" s="573">
        <f t="shared" si="27"/>
        <v>0</v>
      </c>
      <c r="J149" s="505">
        <f t="shared" si="29"/>
        <v>0</v>
      </c>
      <c r="K149" s="505"/>
      <c r="L149" s="513"/>
      <c r="M149" s="505">
        <f t="shared" si="30"/>
        <v>0</v>
      </c>
      <c r="N149" s="513"/>
      <c r="O149" s="505">
        <f t="shared" si="31"/>
        <v>0</v>
      </c>
      <c r="P149" s="505">
        <f t="shared" si="32"/>
        <v>0</v>
      </c>
      <c r="Q149" s="244"/>
      <c r="R149" s="244"/>
      <c r="S149" s="244"/>
      <c r="T149" s="244"/>
      <c r="U149" s="244"/>
    </row>
    <row r="150" spans="2:21">
      <c r="B150" s="145" t="str">
        <f t="shared" si="17"/>
        <v/>
      </c>
      <c r="C150" s="496">
        <f>IF(D94="","-",+C149+1)</f>
        <v>2065</v>
      </c>
      <c r="D150" s="350">
        <f>IF(F149+SUM(E$100:E149)=D$93,F149,D$93-SUM(E$100:E149))</f>
        <v>0</v>
      </c>
      <c r="E150" s="510">
        <f>IF(+J97&lt;F149,J97,D150)</f>
        <v>0</v>
      </c>
      <c r="F150" s="511">
        <f t="shared" si="24"/>
        <v>0</v>
      </c>
      <c r="G150" s="511">
        <f t="shared" si="25"/>
        <v>0</v>
      </c>
      <c r="H150" s="646">
        <f t="shared" si="26"/>
        <v>0</v>
      </c>
      <c r="I150" s="573">
        <f t="shared" si="27"/>
        <v>0</v>
      </c>
      <c r="J150" s="505">
        <f t="shared" si="29"/>
        <v>0</v>
      </c>
      <c r="K150" s="505"/>
      <c r="L150" s="513"/>
      <c r="M150" s="505">
        <f t="shared" si="30"/>
        <v>0</v>
      </c>
      <c r="N150" s="513"/>
      <c r="O150" s="505">
        <f t="shared" si="31"/>
        <v>0</v>
      </c>
      <c r="P150" s="505">
        <f t="shared" si="32"/>
        <v>0</v>
      </c>
      <c r="Q150" s="244"/>
      <c r="R150" s="244"/>
      <c r="S150" s="244"/>
      <c r="T150" s="244"/>
      <c r="U150" s="244"/>
    </row>
    <row r="151" spans="2:21">
      <c r="B151" s="145" t="str">
        <f t="shared" si="17"/>
        <v/>
      </c>
      <c r="C151" s="496">
        <f>IF(D94="","-",+C150+1)</f>
        <v>2066</v>
      </c>
      <c r="D151" s="350">
        <f>IF(F150+SUM(E$100:E150)=D$93,F150,D$93-SUM(E$100:E150))</f>
        <v>0</v>
      </c>
      <c r="E151" s="510">
        <f>IF(+J97&lt;F150,J97,D151)</f>
        <v>0</v>
      </c>
      <c r="F151" s="511">
        <f t="shared" si="24"/>
        <v>0</v>
      </c>
      <c r="G151" s="511">
        <f t="shared" si="25"/>
        <v>0</v>
      </c>
      <c r="H151" s="646">
        <f t="shared" si="26"/>
        <v>0</v>
      </c>
      <c r="I151" s="573">
        <f t="shared" si="27"/>
        <v>0</v>
      </c>
      <c r="J151" s="505">
        <f t="shared" si="29"/>
        <v>0</v>
      </c>
      <c r="K151" s="505"/>
      <c r="L151" s="513"/>
      <c r="M151" s="505">
        <f t="shared" si="30"/>
        <v>0</v>
      </c>
      <c r="N151" s="513"/>
      <c r="O151" s="505">
        <f t="shared" si="31"/>
        <v>0</v>
      </c>
      <c r="P151" s="505">
        <f t="shared" si="32"/>
        <v>0</v>
      </c>
      <c r="Q151" s="244"/>
      <c r="R151" s="244"/>
      <c r="S151" s="244"/>
      <c r="T151" s="244"/>
      <c r="U151" s="244"/>
    </row>
    <row r="152" spans="2:21">
      <c r="B152" s="145" t="str">
        <f t="shared" si="17"/>
        <v/>
      </c>
      <c r="C152" s="496">
        <f>IF(D94="","-",+C151+1)</f>
        <v>2067</v>
      </c>
      <c r="D152" s="350">
        <f>IF(F151+SUM(E$100:E151)=D$93,F151,D$93-SUM(E$100:E151))</f>
        <v>0</v>
      </c>
      <c r="E152" s="510">
        <f>IF(+J97&lt;F151,J97,D152)</f>
        <v>0</v>
      </c>
      <c r="F152" s="511">
        <f t="shared" si="24"/>
        <v>0</v>
      </c>
      <c r="G152" s="511">
        <f t="shared" si="25"/>
        <v>0</v>
      </c>
      <c r="H152" s="646">
        <f t="shared" si="26"/>
        <v>0</v>
      </c>
      <c r="I152" s="573">
        <f t="shared" si="27"/>
        <v>0</v>
      </c>
      <c r="J152" s="505">
        <f t="shared" si="29"/>
        <v>0</v>
      </c>
      <c r="K152" s="505"/>
      <c r="L152" s="513"/>
      <c r="M152" s="505">
        <f t="shared" si="30"/>
        <v>0</v>
      </c>
      <c r="N152" s="513"/>
      <c r="O152" s="505">
        <f t="shared" si="31"/>
        <v>0</v>
      </c>
      <c r="P152" s="505">
        <f t="shared" si="32"/>
        <v>0</v>
      </c>
      <c r="Q152" s="244"/>
      <c r="R152" s="244"/>
      <c r="S152" s="244"/>
      <c r="T152" s="244"/>
      <c r="U152" s="244"/>
    </row>
    <row r="153" spans="2:21">
      <c r="B153" s="145" t="str">
        <f t="shared" si="17"/>
        <v/>
      </c>
      <c r="C153" s="496">
        <f>IF(D94="","-",+C152+1)</f>
        <v>2068</v>
      </c>
      <c r="D153" s="350">
        <f>IF(F152+SUM(E$100:E152)=D$93,F152,D$93-SUM(E$100:E152))</f>
        <v>0</v>
      </c>
      <c r="E153" s="510">
        <f>IF(+J97&lt;F152,J97,D153)</f>
        <v>0</v>
      </c>
      <c r="F153" s="511">
        <f t="shared" si="24"/>
        <v>0</v>
      </c>
      <c r="G153" s="511">
        <f t="shared" si="25"/>
        <v>0</v>
      </c>
      <c r="H153" s="646">
        <f t="shared" si="26"/>
        <v>0</v>
      </c>
      <c r="I153" s="573">
        <f t="shared" si="27"/>
        <v>0</v>
      </c>
      <c r="J153" s="505">
        <f t="shared" si="29"/>
        <v>0</v>
      </c>
      <c r="K153" s="505"/>
      <c r="L153" s="513"/>
      <c r="M153" s="505">
        <f t="shared" si="30"/>
        <v>0</v>
      </c>
      <c r="N153" s="513"/>
      <c r="O153" s="505">
        <f t="shared" si="31"/>
        <v>0</v>
      </c>
      <c r="P153" s="505">
        <f t="shared" si="32"/>
        <v>0</v>
      </c>
      <c r="Q153" s="244"/>
      <c r="R153" s="244"/>
      <c r="S153" s="244"/>
      <c r="T153" s="244"/>
      <c r="U153" s="244"/>
    </row>
    <row r="154" spans="2:21">
      <c r="B154" s="145" t="str">
        <f t="shared" si="17"/>
        <v/>
      </c>
      <c r="C154" s="496">
        <f>IF(D94="","-",+C153+1)</f>
        <v>2069</v>
      </c>
      <c r="D154" s="350">
        <f>IF(F153+SUM(E$100:E153)=D$93,F153,D$93-SUM(E$100:E153))</f>
        <v>0</v>
      </c>
      <c r="E154" s="510">
        <f>IF(+J97&lt;F153,J97,D154)</f>
        <v>0</v>
      </c>
      <c r="F154" s="511">
        <f t="shared" si="24"/>
        <v>0</v>
      </c>
      <c r="G154" s="511">
        <f t="shared" si="25"/>
        <v>0</v>
      </c>
      <c r="H154" s="646">
        <f t="shared" si="26"/>
        <v>0</v>
      </c>
      <c r="I154" s="573">
        <f t="shared" si="27"/>
        <v>0</v>
      </c>
      <c r="J154" s="505">
        <f t="shared" si="29"/>
        <v>0</v>
      </c>
      <c r="K154" s="505"/>
      <c r="L154" s="513"/>
      <c r="M154" s="505">
        <f t="shared" si="30"/>
        <v>0</v>
      </c>
      <c r="N154" s="513"/>
      <c r="O154" s="505">
        <f t="shared" si="31"/>
        <v>0</v>
      </c>
      <c r="P154" s="505">
        <f t="shared" si="32"/>
        <v>0</v>
      </c>
      <c r="Q154" s="244"/>
      <c r="R154" s="244"/>
      <c r="S154" s="244"/>
      <c r="T154" s="244"/>
      <c r="U154" s="244"/>
    </row>
    <row r="155" spans="2:21" ht="13.5" thickBot="1">
      <c r="B155" s="145" t="str">
        <f t="shared" si="17"/>
        <v/>
      </c>
      <c r="C155" s="525">
        <f>IF(D94="","-",+C154+1)</f>
        <v>2070</v>
      </c>
      <c r="D155" s="350">
        <f>IF(F154+SUM(E$100:E154)=D$93,F154,D$93-SUM(E$100:E154))</f>
        <v>0</v>
      </c>
      <c r="E155" s="527">
        <f>IF(+J97&lt;F154,J97,D155)</f>
        <v>0</v>
      </c>
      <c r="F155" s="528">
        <f t="shared" si="24"/>
        <v>0</v>
      </c>
      <c r="G155" s="528">
        <f t="shared" si="25"/>
        <v>0</v>
      </c>
      <c r="H155" s="646">
        <f t="shared" si="26"/>
        <v>0</v>
      </c>
      <c r="I155" s="624">
        <f t="shared" si="27"/>
        <v>0</v>
      </c>
      <c r="J155" s="532">
        <f t="shared" si="29"/>
        <v>0</v>
      </c>
      <c r="K155" s="505"/>
      <c r="L155" s="531"/>
      <c r="M155" s="532">
        <f t="shared" si="30"/>
        <v>0</v>
      </c>
      <c r="N155" s="531"/>
      <c r="O155" s="532">
        <f t="shared" si="31"/>
        <v>0</v>
      </c>
      <c r="P155" s="532">
        <f t="shared" si="32"/>
        <v>0</v>
      </c>
      <c r="Q155" s="244"/>
      <c r="R155" s="244"/>
      <c r="S155" s="244"/>
      <c r="T155" s="244"/>
      <c r="U155" s="244"/>
    </row>
    <row r="156" spans="2:21">
      <c r="C156" s="350" t="s">
        <v>75</v>
      </c>
      <c r="D156" s="295"/>
      <c r="E156" s="295">
        <f>SUM(E100:E155)</f>
        <v>8535104.0000000019</v>
      </c>
      <c r="F156" s="295"/>
      <c r="G156" s="295"/>
      <c r="H156" s="295">
        <f>SUM(H100:H155)</f>
        <v>22443264.242476936</v>
      </c>
      <c r="I156" s="295">
        <f>SUM(I100:I155)</f>
        <v>22443264.242476936</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4" priority="1" stopIfTrue="1" operator="equal">
      <formula>$I$10</formula>
    </cfRule>
  </conditionalFormatting>
  <conditionalFormatting sqref="C100:C155">
    <cfRule type="cellIs" dxfId="33"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1">
    <tabColor theme="9" tint="0.39997558519241921"/>
  </sheetPr>
  <dimension ref="A1:U163"/>
  <sheetViews>
    <sheetView zoomScaleNormal="100" zoomScaleSheetLayoutView="78"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10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862818.59359815018</v>
      </c>
      <c r="P5" s="244"/>
      <c r="R5" s="244"/>
      <c r="S5" s="244"/>
      <c r="T5" s="244"/>
      <c r="U5" s="244"/>
    </row>
    <row r="6" spans="1:21" ht="15.75">
      <c r="C6" s="236"/>
      <c r="D6" s="293"/>
      <c r="E6" s="244"/>
      <c r="F6" s="244"/>
      <c r="G6" s="244"/>
      <c r="H6" s="450"/>
      <c r="I6" s="450"/>
      <c r="J6" s="451"/>
      <c r="K6" s="452" t="s">
        <v>243</v>
      </c>
      <c r="L6" s="453"/>
      <c r="M6" s="279"/>
      <c r="N6" s="454">
        <f>VLOOKUP(I10,C17:I73,6)</f>
        <v>862818.59359815018</v>
      </c>
      <c r="O6" s="244"/>
      <c r="P6" s="244"/>
      <c r="R6" s="244"/>
      <c r="S6" s="244"/>
      <c r="T6" s="244"/>
      <c r="U6" s="244"/>
    </row>
    <row r="7" spans="1:21" ht="13.5" thickBot="1">
      <c r="C7" s="455" t="s">
        <v>46</v>
      </c>
      <c r="D7" s="456" t="s">
        <v>229</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218</v>
      </c>
      <c r="E9" s="466"/>
      <c r="F9" s="466"/>
      <c r="G9" s="466"/>
      <c r="H9" s="466"/>
      <c r="I9" s="467"/>
      <c r="J9" s="468"/>
      <c r="O9" s="469"/>
      <c r="P9" s="279"/>
      <c r="R9" s="244"/>
      <c r="S9" s="244"/>
      <c r="T9" s="244"/>
      <c r="U9" s="244"/>
    </row>
    <row r="10" spans="1:21">
      <c r="C10" s="470" t="s">
        <v>49</v>
      </c>
      <c r="D10" s="471">
        <v>7210309</v>
      </c>
      <c r="E10" s="300" t="s">
        <v>50</v>
      </c>
      <c r="F10" s="469"/>
      <c r="G10" s="409"/>
      <c r="H10" s="409"/>
      <c r="I10" s="472">
        <f>+'OKT.WS.F.BPU.ATRR.Projected'!R100</f>
        <v>2020</v>
      </c>
      <c r="J10" s="468"/>
      <c r="K10" s="295" t="s">
        <v>51</v>
      </c>
      <c r="O10" s="279"/>
      <c r="P10" s="279"/>
      <c r="R10" s="244"/>
      <c r="S10" s="244"/>
      <c r="T10" s="244"/>
      <c r="U10" s="244"/>
    </row>
    <row r="11" spans="1:21">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12</v>
      </c>
      <c r="E12" s="473" t="s">
        <v>55</v>
      </c>
      <c r="F12" s="409"/>
      <c r="G12" s="221"/>
      <c r="H12" s="221"/>
      <c r="I12" s="477">
        <f>'OKT.WS.F.BPU.ATRR.Projected'!$F$78</f>
        <v>0.1064171487591708</v>
      </c>
      <c r="J12" s="414"/>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212067.91176470587</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2013</v>
      </c>
      <c r="D17" s="497">
        <v>7200873.8200000003</v>
      </c>
      <c r="E17" s="498">
        <v>0</v>
      </c>
      <c r="F17" s="497">
        <v>7200873.8200000003</v>
      </c>
      <c r="G17" s="498">
        <v>66024.408436961749</v>
      </c>
      <c r="H17" s="500">
        <v>66024.408436961749</v>
      </c>
      <c r="I17" s="585">
        <v>0</v>
      </c>
      <c r="J17" s="501"/>
      <c r="K17" s="502">
        <f t="shared" ref="K17:K22" si="1">G17</f>
        <v>66024.408436961749</v>
      </c>
      <c r="L17" s="503">
        <f t="shared" ref="L17:L22" si="2">IF(K17&lt;&gt;0,+G17-K17,0)</f>
        <v>0</v>
      </c>
      <c r="M17" s="502">
        <f t="shared" ref="M17:M22" si="3">H17</f>
        <v>66024.408436961749</v>
      </c>
      <c r="N17" s="504">
        <f>IF(M17&lt;&gt;0,+H17-M17,0)</f>
        <v>0</v>
      </c>
      <c r="O17" s="505">
        <f>+N17-L17</f>
        <v>0</v>
      </c>
      <c r="P17" s="279"/>
      <c r="R17" s="244"/>
      <c r="S17" s="244"/>
      <c r="T17" s="244"/>
      <c r="U17" s="244"/>
    </row>
    <row r="18" spans="2:21">
      <c r="B18" s="145" t="str">
        <f t="shared" si="0"/>
        <v/>
      </c>
      <c r="C18" s="496">
        <f>IF(D11="","-",+C17+1)</f>
        <v>2014</v>
      </c>
      <c r="D18" s="506">
        <v>7200873.8200000003</v>
      </c>
      <c r="E18" s="499">
        <v>124569.42917795427</v>
      </c>
      <c r="F18" s="506">
        <v>7076304.3908220464</v>
      </c>
      <c r="G18" s="499">
        <v>903156.28905530274</v>
      </c>
      <c r="H18" s="500">
        <v>903156.28905530274</v>
      </c>
      <c r="I18" s="585">
        <v>0</v>
      </c>
      <c r="J18" s="501"/>
      <c r="K18" s="593">
        <f t="shared" si="1"/>
        <v>903156.28905530274</v>
      </c>
      <c r="L18" s="597">
        <f t="shared" si="2"/>
        <v>0</v>
      </c>
      <c r="M18" s="593">
        <f t="shared" si="3"/>
        <v>903156.28905530274</v>
      </c>
      <c r="N18" s="595">
        <f>IF(M18&lt;&gt;0,+H18-M18,0)</f>
        <v>0</v>
      </c>
      <c r="O18" s="597">
        <f>+N18-L18</f>
        <v>0</v>
      </c>
      <c r="P18" s="279"/>
      <c r="R18" s="244"/>
      <c r="S18" s="244"/>
      <c r="T18" s="244"/>
      <c r="U18" s="244"/>
    </row>
    <row r="19" spans="2:21">
      <c r="B19" s="145" t="str">
        <f t="shared" si="0"/>
        <v/>
      </c>
      <c r="C19" s="496">
        <f>IF(D11="","-",+C18+1)</f>
        <v>2015</v>
      </c>
      <c r="D19" s="615">
        <v>7076304.3908220464</v>
      </c>
      <c r="E19" s="614">
        <v>124569.42917795427</v>
      </c>
      <c r="F19" s="615">
        <v>6951734.9616440926</v>
      </c>
      <c r="G19" s="614">
        <v>841053.03893843992</v>
      </c>
      <c r="H19" s="618">
        <v>841053.03893843992</v>
      </c>
      <c r="I19" s="585">
        <v>0</v>
      </c>
      <c r="J19" s="501"/>
      <c r="K19" s="593">
        <f t="shared" si="1"/>
        <v>841053.03893843992</v>
      </c>
      <c r="L19" s="597">
        <f t="shared" si="2"/>
        <v>0</v>
      </c>
      <c r="M19" s="593">
        <f t="shared" si="3"/>
        <v>841053.03893843992</v>
      </c>
      <c r="N19" s="595">
        <f>IF(M19&lt;&gt;0,+H19-M19,0)</f>
        <v>0</v>
      </c>
      <c r="O19" s="597">
        <f>+N19-L19</f>
        <v>0</v>
      </c>
      <c r="P19" s="279"/>
      <c r="R19" s="244"/>
      <c r="S19" s="244"/>
      <c r="T19" s="244"/>
      <c r="U19" s="244"/>
    </row>
    <row r="20" spans="2:21">
      <c r="B20" s="145" t="str">
        <f t="shared" si="0"/>
        <v/>
      </c>
      <c r="C20" s="496">
        <f>IF(D11="","-",+C19+1)</f>
        <v>2016</v>
      </c>
      <c r="D20" s="615">
        <v>6951734.9616440926</v>
      </c>
      <c r="E20" s="614">
        <v>149630.22739831218</v>
      </c>
      <c r="F20" s="615">
        <v>6802104.7342457809</v>
      </c>
      <c r="G20" s="614">
        <v>883443.80340987013</v>
      </c>
      <c r="H20" s="618">
        <v>883443.80340987013</v>
      </c>
      <c r="I20" s="501">
        <f>H20-G20</f>
        <v>0</v>
      </c>
      <c r="J20" s="501"/>
      <c r="K20" s="593">
        <f t="shared" si="1"/>
        <v>883443.80340987013</v>
      </c>
      <c r="L20" s="597">
        <f t="shared" si="2"/>
        <v>0</v>
      </c>
      <c r="M20" s="593">
        <f t="shared" si="3"/>
        <v>883443.80340987013</v>
      </c>
      <c r="N20" s="505">
        <f t="shared" ref="N20:N73" si="4">IF(M20&lt;&gt;0,+H20-M20,0)</f>
        <v>0</v>
      </c>
      <c r="O20" s="505">
        <f t="shared" ref="O20:O73" si="5">+N20-L20</f>
        <v>0</v>
      </c>
      <c r="P20" s="279"/>
      <c r="R20" s="244"/>
      <c r="S20" s="244"/>
      <c r="T20" s="244"/>
      <c r="U20" s="244"/>
    </row>
    <row r="21" spans="2:21">
      <c r="B21" s="145" t="str">
        <f t="shared" si="0"/>
        <v>IU</v>
      </c>
      <c r="C21" s="496">
        <f>IF(D11="","-",+C20+1)</f>
        <v>2017</v>
      </c>
      <c r="D21" s="615">
        <v>6811539.9142457796</v>
      </c>
      <c r="E21" s="614">
        <v>141768.94979225809</v>
      </c>
      <c r="F21" s="615">
        <v>6669770.9644535212</v>
      </c>
      <c r="G21" s="614">
        <v>882836.42245279858</v>
      </c>
      <c r="H21" s="618">
        <v>882836.42245279858</v>
      </c>
      <c r="I21" s="501">
        <f t="shared" ref="I21:I73" si="6">H21-G21</f>
        <v>0</v>
      </c>
      <c r="J21" s="501"/>
      <c r="K21" s="593">
        <f t="shared" si="1"/>
        <v>882836.42245279858</v>
      </c>
      <c r="L21" s="597">
        <f t="shared" si="2"/>
        <v>0</v>
      </c>
      <c r="M21" s="593">
        <f t="shared" si="3"/>
        <v>882836.42245279858</v>
      </c>
      <c r="N21" s="505">
        <f>IF(M21&lt;&gt;0,+H21-M21,0)</f>
        <v>0</v>
      </c>
      <c r="O21" s="505">
        <f>+N21-L21</f>
        <v>0</v>
      </c>
      <c r="P21" s="279"/>
      <c r="R21" s="244"/>
      <c r="S21" s="244"/>
      <c r="T21" s="244"/>
      <c r="U21" s="244"/>
    </row>
    <row r="22" spans="2:21">
      <c r="B22" s="145" t="str">
        <f t="shared" si="0"/>
        <v/>
      </c>
      <c r="C22" s="496">
        <f>IF(D11="","-",+C21+1)</f>
        <v>2018</v>
      </c>
      <c r="D22" s="615">
        <v>6669770.9644535212</v>
      </c>
      <c r="E22" s="614">
        <v>176829.81385654397</v>
      </c>
      <c r="F22" s="615">
        <v>6492941.1505969772</v>
      </c>
      <c r="G22" s="614">
        <v>950080.0959319286</v>
      </c>
      <c r="H22" s="618">
        <v>950080.0959319286</v>
      </c>
      <c r="I22" s="501">
        <v>0</v>
      </c>
      <c r="J22" s="501"/>
      <c r="K22" s="593">
        <f t="shared" si="1"/>
        <v>950080.0959319286</v>
      </c>
      <c r="L22" s="597">
        <f t="shared" si="2"/>
        <v>0</v>
      </c>
      <c r="M22" s="593">
        <f t="shared" si="3"/>
        <v>950080.0959319286</v>
      </c>
      <c r="N22" s="505">
        <f>IF(M22&lt;&gt;0,+H22-M22,0)</f>
        <v>0</v>
      </c>
      <c r="O22" s="505">
        <f>+N22-L22</f>
        <v>0</v>
      </c>
      <c r="P22" s="279"/>
      <c r="R22" s="244"/>
      <c r="S22" s="244"/>
      <c r="T22" s="244"/>
      <c r="U22" s="244"/>
    </row>
    <row r="23" spans="2:21">
      <c r="B23" s="145" t="str">
        <f t="shared" si="0"/>
        <v/>
      </c>
      <c r="C23" s="496">
        <f>IF(D11="","-",+C22+1)</f>
        <v>2019</v>
      </c>
      <c r="D23" s="615">
        <v>6492941.1505969772</v>
      </c>
      <c r="E23" s="614">
        <v>176829.81385654397</v>
      </c>
      <c r="F23" s="615">
        <v>6316111.3367404332</v>
      </c>
      <c r="G23" s="614">
        <v>929304.1795024313</v>
      </c>
      <c r="H23" s="618">
        <v>929304.1795024313</v>
      </c>
      <c r="I23" s="501">
        <f t="shared" si="6"/>
        <v>0</v>
      </c>
      <c r="J23" s="501"/>
      <c r="K23" s="593">
        <f t="shared" ref="K23" si="7">G23</f>
        <v>929304.1795024313</v>
      </c>
      <c r="L23" s="597">
        <f t="shared" ref="L23" si="8">IF(K23&lt;&gt;0,+G23-K23,0)</f>
        <v>0</v>
      </c>
      <c r="M23" s="593">
        <f t="shared" ref="M23" si="9">H23</f>
        <v>929304.1795024313</v>
      </c>
      <c r="N23" s="505">
        <f>IF(M23&lt;&gt;0,+H23-M23,0)</f>
        <v>0</v>
      </c>
      <c r="O23" s="505">
        <f>+N23-L23</f>
        <v>0</v>
      </c>
      <c r="P23" s="279"/>
      <c r="R23" s="244"/>
      <c r="S23" s="244"/>
      <c r="T23" s="244"/>
      <c r="U23" s="244"/>
    </row>
    <row r="24" spans="2:21">
      <c r="B24" s="145" t="str">
        <f t="shared" si="0"/>
        <v/>
      </c>
      <c r="C24" s="496">
        <f>IF(D11="","-",+C23+1)</f>
        <v>2020</v>
      </c>
      <c r="D24" s="615">
        <v>6316111.3367404332</v>
      </c>
      <c r="E24" s="614">
        <v>211130.68525810694</v>
      </c>
      <c r="F24" s="615">
        <v>6104980.651482326</v>
      </c>
      <c r="G24" s="614">
        <v>862818.59359815018</v>
      </c>
      <c r="H24" s="618">
        <v>862818.59359815018</v>
      </c>
      <c r="I24" s="501">
        <f t="shared" si="6"/>
        <v>0</v>
      </c>
      <c r="J24" s="501"/>
      <c r="K24" s="593">
        <f t="shared" ref="K24" si="10">G24</f>
        <v>862818.59359815018</v>
      </c>
      <c r="L24" s="597">
        <f t="shared" ref="L24" si="11">IF(K24&lt;&gt;0,+G24-K24,0)</f>
        <v>0</v>
      </c>
      <c r="M24" s="593">
        <f t="shared" ref="M24" si="12">H24</f>
        <v>862818.59359815018</v>
      </c>
      <c r="N24" s="505">
        <f t="shared" si="4"/>
        <v>0</v>
      </c>
      <c r="O24" s="505">
        <f t="shared" si="5"/>
        <v>0</v>
      </c>
      <c r="P24" s="279"/>
      <c r="R24" s="244"/>
      <c r="S24" s="244"/>
      <c r="T24" s="244"/>
      <c r="U24" s="244"/>
    </row>
    <row r="25" spans="2:21">
      <c r="B25" s="145" t="str">
        <f t="shared" si="0"/>
        <v>IU</v>
      </c>
      <c r="C25" s="496">
        <f>IF(D11="","-",+C24+1)</f>
        <v>2021</v>
      </c>
      <c r="D25" s="615">
        <v>6067961.014446348</v>
      </c>
      <c r="E25" s="614">
        <v>232590.61290322582</v>
      </c>
      <c r="F25" s="615">
        <v>5835370.4015431218</v>
      </c>
      <c r="G25" s="614">
        <v>876471.96738932701</v>
      </c>
      <c r="H25" s="618">
        <v>876471.96738932701</v>
      </c>
      <c r="I25" s="501">
        <f t="shared" si="6"/>
        <v>0</v>
      </c>
      <c r="J25" s="501"/>
      <c r="K25" s="593">
        <f t="shared" ref="K25" si="13">G25</f>
        <v>876471.96738932701</v>
      </c>
      <c r="L25" s="597">
        <f t="shared" ref="L25" si="14">IF(K25&lt;&gt;0,+G25-K25,0)</f>
        <v>0</v>
      </c>
      <c r="M25" s="593">
        <f t="shared" ref="M25" si="15">H25</f>
        <v>876471.96738932701</v>
      </c>
      <c r="N25" s="505">
        <f t="shared" si="4"/>
        <v>0</v>
      </c>
      <c r="O25" s="505">
        <f t="shared" si="5"/>
        <v>0</v>
      </c>
      <c r="P25" s="279"/>
      <c r="R25" s="244"/>
      <c r="S25" s="244"/>
      <c r="T25" s="244"/>
      <c r="U25" s="244"/>
    </row>
    <row r="26" spans="2:21">
      <c r="B26" s="145" t="str">
        <f t="shared" si="0"/>
        <v>IU</v>
      </c>
      <c r="C26" s="496">
        <f>IF(D11="","-",+C25+1)</f>
        <v>2022</v>
      </c>
      <c r="D26" s="509">
        <f>IF(F25+SUM(E$17:E25)=D$10,F25,D$10-SUM(E$17:E25))</f>
        <v>5872390.0385791007</v>
      </c>
      <c r="E26" s="510">
        <f t="shared" ref="E26:E73" si="16">IF(+$I$14&lt;F25,$I$14,D26)</f>
        <v>212067.91176470587</v>
      </c>
      <c r="F26" s="511">
        <f t="shared" ref="F26:F73" si="17">+D26-E26</f>
        <v>5660322.1268143952</v>
      </c>
      <c r="G26" s="512">
        <f t="shared" ref="G26:G73" si="18">(D26+F26)/2*I$12+E26</f>
        <v>825707.08481539518</v>
      </c>
      <c r="H26" s="478">
        <f t="shared" ref="H26:H73" si="19">+(D26+F26)/2*I$13+E26</f>
        <v>825707.08481539518</v>
      </c>
      <c r="I26" s="501">
        <f t="shared" si="6"/>
        <v>0</v>
      </c>
      <c r="J26" s="501"/>
      <c r="K26" s="513"/>
      <c r="L26" s="505">
        <f t="shared" ref="L26:L73" si="20">IF(K26&lt;&gt;0,+G26-K26,0)</f>
        <v>0</v>
      </c>
      <c r="M26" s="513"/>
      <c r="N26" s="505">
        <f t="shared" si="4"/>
        <v>0</v>
      </c>
      <c r="O26" s="505">
        <f t="shared" si="5"/>
        <v>0</v>
      </c>
      <c r="P26" s="279"/>
      <c r="R26" s="244"/>
      <c r="S26" s="244"/>
      <c r="T26" s="244"/>
      <c r="U26" s="244"/>
    </row>
    <row r="27" spans="2:21">
      <c r="B27" s="145" t="str">
        <f t="shared" si="0"/>
        <v/>
      </c>
      <c r="C27" s="496">
        <f>IF(D11="","-",+C26+1)</f>
        <v>2023</v>
      </c>
      <c r="D27" s="509">
        <f>IF(F26+SUM(E$17:E26)=D$10,F26,D$10-SUM(E$17:E26))</f>
        <v>5660322.1268143952</v>
      </c>
      <c r="E27" s="510">
        <f t="shared" si="16"/>
        <v>212067.91176470587</v>
      </c>
      <c r="F27" s="511">
        <f t="shared" si="17"/>
        <v>5448254.2150496896</v>
      </c>
      <c r="G27" s="512">
        <f t="shared" si="18"/>
        <v>803139.42230208369</v>
      </c>
      <c r="H27" s="478">
        <f t="shared" si="19"/>
        <v>803139.42230208369</v>
      </c>
      <c r="I27" s="501">
        <f t="shared" si="6"/>
        <v>0</v>
      </c>
      <c r="J27" s="501"/>
      <c r="K27" s="513"/>
      <c r="L27" s="505">
        <f t="shared" si="20"/>
        <v>0</v>
      </c>
      <c r="M27" s="513"/>
      <c r="N27" s="505">
        <f t="shared" si="4"/>
        <v>0</v>
      </c>
      <c r="O27" s="505">
        <f t="shared" si="5"/>
        <v>0</v>
      </c>
      <c r="P27" s="279"/>
      <c r="R27" s="244"/>
      <c r="S27" s="244"/>
      <c r="T27" s="244"/>
      <c r="U27" s="244"/>
    </row>
    <row r="28" spans="2:21">
      <c r="B28" s="145" t="str">
        <f t="shared" si="0"/>
        <v/>
      </c>
      <c r="C28" s="496">
        <f>IF(D11="","-",+C27+1)</f>
        <v>2024</v>
      </c>
      <c r="D28" s="509">
        <f>IF(F27+SUM(E$17:E27)=D$10,F27,D$10-SUM(E$17:E27))</f>
        <v>5448254.2150496896</v>
      </c>
      <c r="E28" s="510">
        <f t="shared" si="16"/>
        <v>212067.91176470587</v>
      </c>
      <c r="F28" s="511">
        <f t="shared" si="17"/>
        <v>5236186.3032849841</v>
      </c>
      <c r="G28" s="512">
        <f t="shared" si="18"/>
        <v>780571.75978877232</v>
      </c>
      <c r="H28" s="478">
        <f t="shared" si="19"/>
        <v>780571.75978877232</v>
      </c>
      <c r="I28" s="501">
        <f t="shared" si="6"/>
        <v>0</v>
      </c>
      <c r="J28" s="501"/>
      <c r="K28" s="513"/>
      <c r="L28" s="505">
        <f t="shared" si="20"/>
        <v>0</v>
      </c>
      <c r="M28" s="513"/>
      <c r="N28" s="505">
        <f t="shared" si="4"/>
        <v>0</v>
      </c>
      <c r="O28" s="505">
        <f t="shared" si="5"/>
        <v>0</v>
      </c>
      <c r="P28" s="279"/>
      <c r="R28" s="244"/>
      <c r="S28" s="244"/>
      <c r="T28" s="244"/>
      <c r="U28" s="244"/>
    </row>
    <row r="29" spans="2:21">
      <c r="B29" s="145" t="str">
        <f t="shared" si="0"/>
        <v/>
      </c>
      <c r="C29" s="496">
        <f>IF(D11="","-",+C28+1)</f>
        <v>2025</v>
      </c>
      <c r="D29" s="509">
        <f>IF(F28+SUM(E$17:E28)=D$10,F28,D$10-SUM(E$17:E28))</f>
        <v>5236186.3032849841</v>
      </c>
      <c r="E29" s="510">
        <f t="shared" si="16"/>
        <v>212067.91176470587</v>
      </c>
      <c r="F29" s="511">
        <f t="shared" si="17"/>
        <v>5024118.3915202785</v>
      </c>
      <c r="G29" s="512">
        <f t="shared" si="18"/>
        <v>758004.09727546095</v>
      </c>
      <c r="H29" s="478">
        <f t="shared" si="19"/>
        <v>758004.09727546095</v>
      </c>
      <c r="I29" s="501">
        <f t="shared" si="6"/>
        <v>0</v>
      </c>
      <c r="J29" s="501"/>
      <c r="K29" s="513"/>
      <c r="L29" s="505">
        <f t="shared" si="20"/>
        <v>0</v>
      </c>
      <c r="M29" s="513"/>
      <c r="N29" s="505">
        <f t="shared" si="4"/>
        <v>0</v>
      </c>
      <c r="O29" s="505">
        <f t="shared" si="5"/>
        <v>0</v>
      </c>
      <c r="P29" s="279"/>
      <c r="R29" s="244"/>
      <c r="S29" s="244"/>
      <c r="T29" s="244"/>
      <c r="U29" s="244"/>
    </row>
    <row r="30" spans="2:21">
      <c r="B30" s="145" t="str">
        <f t="shared" si="0"/>
        <v/>
      </c>
      <c r="C30" s="496">
        <f>IF(D11="","-",+C29+1)</f>
        <v>2026</v>
      </c>
      <c r="D30" s="509">
        <f>IF(F29+SUM(E$17:E29)=D$10,F29,D$10-SUM(E$17:E29))</f>
        <v>5024118.3915202785</v>
      </c>
      <c r="E30" s="510">
        <f t="shared" si="16"/>
        <v>212067.91176470587</v>
      </c>
      <c r="F30" s="511">
        <f t="shared" si="17"/>
        <v>4812050.479755573</v>
      </c>
      <c r="G30" s="512">
        <f t="shared" si="18"/>
        <v>735436.43476214958</v>
      </c>
      <c r="H30" s="478">
        <f t="shared" si="19"/>
        <v>735436.43476214958</v>
      </c>
      <c r="I30" s="501">
        <f t="shared" si="6"/>
        <v>0</v>
      </c>
      <c r="J30" s="501"/>
      <c r="K30" s="513"/>
      <c r="L30" s="505">
        <f t="shared" si="20"/>
        <v>0</v>
      </c>
      <c r="M30" s="513"/>
      <c r="N30" s="505">
        <f t="shared" si="4"/>
        <v>0</v>
      </c>
      <c r="O30" s="505">
        <f t="shared" si="5"/>
        <v>0</v>
      </c>
      <c r="P30" s="279"/>
      <c r="R30" s="244"/>
      <c r="S30" s="244"/>
      <c r="T30" s="244"/>
      <c r="U30" s="244"/>
    </row>
    <row r="31" spans="2:21">
      <c r="B31" s="145" t="str">
        <f t="shared" si="0"/>
        <v/>
      </c>
      <c r="C31" s="496">
        <f>IF(D11="","-",+C30+1)</f>
        <v>2027</v>
      </c>
      <c r="D31" s="509">
        <f>IF(F30+SUM(E$17:E30)=D$10,F30,D$10-SUM(E$17:E30))</f>
        <v>4812050.479755573</v>
      </c>
      <c r="E31" s="510">
        <f t="shared" si="16"/>
        <v>212067.91176470587</v>
      </c>
      <c r="F31" s="511">
        <f t="shared" si="17"/>
        <v>4599982.5679908674</v>
      </c>
      <c r="G31" s="512">
        <f t="shared" si="18"/>
        <v>712868.77224883821</v>
      </c>
      <c r="H31" s="478">
        <f t="shared" si="19"/>
        <v>712868.77224883821</v>
      </c>
      <c r="I31" s="501">
        <f t="shared" si="6"/>
        <v>0</v>
      </c>
      <c r="J31" s="501"/>
      <c r="K31" s="513"/>
      <c r="L31" s="505">
        <f t="shared" si="20"/>
        <v>0</v>
      </c>
      <c r="M31" s="513"/>
      <c r="N31" s="505">
        <f t="shared" si="4"/>
        <v>0</v>
      </c>
      <c r="O31" s="505">
        <f t="shared" si="5"/>
        <v>0</v>
      </c>
      <c r="P31" s="279"/>
      <c r="Q31" s="221"/>
      <c r="R31" s="279"/>
      <c r="S31" s="279"/>
      <c r="T31" s="279"/>
      <c r="U31" s="244"/>
    </row>
    <row r="32" spans="2:21">
      <c r="B32" s="145" t="str">
        <f t="shared" si="0"/>
        <v/>
      </c>
      <c r="C32" s="496">
        <f>IF(D12="","-",+C31+1)</f>
        <v>2028</v>
      </c>
      <c r="D32" s="509">
        <f>IF(F31+SUM(E$17:E31)=D$10,F31,D$10-SUM(E$17:E31))</f>
        <v>4599982.5679908674</v>
      </c>
      <c r="E32" s="510">
        <f>IF(+$I$14&lt;F31,$I$14,D32)</f>
        <v>212067.91176470587</v>
      </c>
      <c r="F32" s="511">
        <f>+D32-E32</f>
        <v>4387914.6562261619</v>
      </c>
      <c r="G32" s="512">
        <f t="shared" si="18"/>
        <v>690301.10973552684</v>
      </c>
      <c r="H32" s="478">
        <f t="shared" si="19"/>
        <v>690301.10973552684</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2029</v>
      </c>
      <c r="D33" s="509">
        <f>IF(F32+SUM(E$17:E32)=D$10,F32,D$10-SUM(E$17:E32))</f>
        <v>4387914.6562261619</v>
      </c>
      <c r="E33" s="510">
        <f>IF(+$I$14&lt;F32,$I$14,D33)</f>
        <v>212067.91176470587</v>
      </c>
      <c r="F33" s="511">
        <f>+D33-E33</f>
        <v>4175846.7444614558</v>
      </c>
      <c r="G33" s="512">
        <f t="shared" si="18"/>
        <v>667733.44722221547</v>
      </c>
      <c r="H33" s="478">
        <f t="shared" si="19"/>
        <v>667733.44722221547</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496">
        <f>IF(D14="","-",+C33+1)</f>
        <v>2030</v>
      </c>
      <c r="D34" s="515">
        <f>IF(F33+SUM(E$17:E33)=D$10,F33,D$10-SUM(E$17:E33))</f>
        <v>4175846.7444614558</v>
      </c>
      <c r="E34" s="516">
        <f t="shared" si="16"/>
        <v>212067.91176470587</v>
      </c>
      <c r="F34" s="517">
        <f t="shared" si="17"/>
        <v>3963778.8326967498</v>
      </c>
      <c r="G34" s="512">
        <f t="shared" si="18"/>
        <v>645165.78470890399</v>
      </c>
      <c r="H34" s="478">
        <f t="shared" si="19"/>
        <v>645165.78470890399</v>
      </c>
      <c r="I34" s="520">
        <f t="shared" si="6"/>
        <v>0</v>
      </c>
      <c r="J34" s="520"/>
      <c r="K34" s="521"/>
      <c r="L34" s="522">
        <f t="shared" si="20"/>
        <v>0</v>
      </c>
      <c r="M34" s="521"/>
      <c r="N34" s="522">
        <f t="shared" si="4"/>
        <v>0</v>
      </c>
      <c r="O34" s="522">
        <f t="shared" si="5"/>
        <v>0</v>
      </c>
      <c r="P34" s="523"/>
      <c r="Q34" s="217"/>
      <c r="R34" s="523"/>
      <c r="S34" s="523"/>
      <c r="T34" s="523"/>
      <c r="U34" s="244"/>
    </row>
    <row r="35" spans="2:21">
      <c r="B35" s="145" t="str">
        <f t="shared" si="0"/>
        <v/>
      </c>
      <c r="C35" s="496">
        <f>IF(D11="","-",+C34+1)</f>
        <v>2031</v>
      </c>
      <c r="D35" s="509">
        <f>IF(F34+SUM(E$17:E34)=D$10,F34,D$10-SUM(E$17:E34))</f>
        <v>3963778.8326967498</v>
      </c>
      <c r="E35" s="510">
        <f t="shared" si="16"/>
        <v>212067.91176470587</v>
      </c>
      <c r="F35" s="511">
        <f t="shared" si="17"/>
        <v>3751710.9209320438</v>
      </c>
      <c r="G35" s="512">
        <f t="shared" si="18"/>
        <v>622598.12219559262</v>
      </c>
      <c r="H35" s="478">
        <f t="shared" si="19"/>
        <v>622598.12219559262</v>
      </c>
      <c r="I35" s="501">
        <f t="shared" si="6"/>
        <v>0</v>
      </c>
      <c r="J35" s="501"/>
      <c r="K35" s="513"/>
      <c r="L35" s="505">
        <f t="shared" si="20"/>
        <v>0</v>
      </c>
      <c r="M35" s="513"/>
      <c r="N35" s="505">
        <f t="shared" si="4"/>
        <v>0</v>
      </c>
      <c r="O35" s="505">
        <f t="shared" si="5"/>
        <v>0</v>
      </c>
      <c r="P35" s="279"/>
      <c r="R35" s="244"/>
      <c r="S35" s="244"/>
      <c r="T35" s="244"/>
      <c r="U35" s="244"/>
    </row>
    <row r="36" spans="2:21">
      <c r="B36" s="145" t="str">
        <f t="shared" si="0"/>
        <v/>
      </c>
      <c r="C36" s="496">
        <f>IF(D11="","-",+C35+1)</f>
        <v>2032</v>
      </c>
      <c r="D36" s="509">
        <f>IF(F35+SUM(E$17:E35)=D$10,F35,D$10-SUM(E$17:E35))</f>
        <v>3751710.9209320438</v>
      </c>
      <c r="E36" s="510">
        <f t="shared" si="16"/>
        <v>212067.91176470587</v>
      </c>
      <c r="F36" s="511">
        <f t="shared" si="17"/>
        <v>3539643.0091673378</v>
      </c>
      <c r="G36" s="512">
        <f t="shared" si="18"/>
        <v>600030.45968228113</v>
      </c>
      <c r="H36" s="478">
        <f t="shared" si="19"/>
        <v>600030.45968228113</v>
      </c>
      <c r="I36" s="501">
        <f t="shared" si="6"/>
        <v>0</v>
      </c>
      <c r="J36" s="501"/>
      <c r="K36" s="513"/>
      <c r="L36" s="505">
        <f t="shared" si="20"/>
        <v>0</v>
      </c>
      <c r="M36" s="513"/>
      <c r="N36" s="505">
        <f t="shared" si="4"/>
        <v>0</v>
      </c>
      <c r="O36" s="505">
        <f t="shared" si="5"/>
        <v>0</v>
      </c>
      <c r="P36" s="279"/>
      <c r="R36" s="244"/>
      <c r="S36" s="244"/>
      <c r="T36" s="244"/>
      <c r="U36" s="244"/>
    </row>
    <row r="37" spans="2:21">
      <c r="B37" s="145" t="str">
        <f t="shared" si="0"/>
        <v/>
      </c>
      <c r="C37" s="496">
        <f>IF(D11="","-",+C36+1)</f>
        <v>2033</v>
      </c>
      <c r="D37" s="509">
        <f>IF(F36+SUM(E$17:E36)=D$10,F36,D$10-SUM(E$17:E36))</f>
        <v>3539643.0091673378</v>
      </c>
      <c r="E37" s="510">
        <f t="shared" si="16"/>
        <v>212067.91176470587</v>
      </c>
      <c r="F37" s="511">
        <f t="shared" si="17"/>
        <v>3327575.0974026318</v>
      </c>
      <c r="G37" s="512">
        <f t="shared" si="18"/>
        <v>577462.79716896976</v>
      </c>
      <c r="H37" s="478">
        <f t="shared" si="19"/>
        <v>577462.79716896976</v>
      </c>
      <c r="I37" s="501">
        <f t="shared" si="6"/>
        <v>0</v>
      </c>
      <c r="J37" s="501"/>
      <c r="K37" s="513"/>
      <c r="L37" s="505">
        <f t="shared" si="20"/>
        <v>0</v>
      </c>
      <c r="M37" s="513"/>
      <c r="N37" s="505">
        <f t="shared" si="4"/>
        <v>0</v>
      </c>
      <c r="O37" s="505">
        <f t="shared" si="5"/>
        <v>0</v>
      </c>
      <c r="P37" s="279"/>
      <c r="R37" s="244"/>
      <c r="S37" s="244"/>
      <c r="T37" s="244"/>
      <c r="U37" s="244"/>
    </row>
    <row r="38" spans="2:21">
      <c r="B38" s="145" t="str">
        <f t="shared" si="0"/>
        <v/>
      </c>
      <c r="C38" s="496">
        <f>IF(D11="","-",+C37+1)</f>
        <v>2034</v>
      </c>
      <c r="D38" s="509">
        <f>IF(F37+SUM(E$17:E37)=D$10,F37,D$10-SUM(E$17:E37))</f>
        <v>3327575.0974026318</v>
      </c>
      <c r="E38" s="510">
        <f t="shared" si="16"/>
        <v>212067.91176470587</v>
      </c>
      <c r="F38" s="511">
        <f t="shared" si="17"/>
        <v>3115507.1856379258</v>
      </c>
      <c r="G38" s="512">
        <f t="shared" si="18"/>
        <v>554895.13465565827</v>
      </c>
      <c r="H38" s="478">
        <f t="shared" si="19"/>
        <v>554895.13465565827</v>
      </c>
      <c r="I38" s="501">
        <f t="shared" si="6"/>
        <v>0</v>
      </c>
      <c r="J38" s="501"/>
      <c r="K38" s="513"/>
      <c r="L38" s="505">
        <f t="shared" si="20"/>
        <v>0</v>
      </c>
      <c r="M38" s="513"/>
      <c r="N38" s="505">
        <f t="shared" si="4"/>
        <v>0</v>
      </c>
      <c r="O38" s="505">
        <f t="shared" si="5"/>
        <v>0</v>
      </c>
      <c r="P38" s="279"/>
      <c r="R38" s="244"/>
      <c r="S38" s="244"/>
      <c r="T38" s="244"/>
      <c r="U38" s="244"/>
    </row>
    <row r="39" spans="2:21">
      <c r="B39" s="145" t="str">
        <f t="shared" si="0"/>
        <v/>
      </c>
      <c r="C39" s="496">
        <f>IF(D11="","-",+C38+1)</f>
        <v>2035</v>
      </c>
      <c r="D39" s="509">
        <f>IF(F38+SUM(E$17:E38)=D$10,F38,D$10-SUM(E$17:E38))</f>
        <v>3115507.1856379258</v>
      </c>
      <c r="E39" s="510">
        <f t="shared" si="16"/>
        <v>212067.91176470587</v>
      </c>
      <c r="F39" s="511">
        <f t="shared" si="17"/>
        <v>2903439.2738732197</v>
      </c>
      <c r="G39" s="512">
        <f t="shared" si="18"/>
        <v>532327.4721423469</v>
      </c>
      <c r="H39" s="478">
        <f t="shared" si="19"/>
        <v>532327.4721423469</v>
      </c>
      <c r="I39" s="501">
        <f t="shared" si="6"/>
        <v>0</v>
      </c>
      <c r="J39" s="501"/>
      <c r="K39" s="513"/>
      <c r="L39" s="505">
        <f t="shared" si="20"/>
        <v>0</v>
      </c>
      <c r="M39" s="513"/>
      <c r="N39" s="505">
        <f t="shared" si="4"/>
        <v>0</v>
      </c>
      <c r="O39" s="505">
        <f t="shared" si="5"/>
        <v>0</v>
      </c>
      <c r="P39" s="279"/>
      <c r="R39" s="244"/>
      <c r="S39" s="244"/>
      <c r="T39" s="244"/>
      <c r="U39" s="244"/>
    </row>
    <row r="40" spans="2:21">
      <c r="B40" s="145" t="str">
        <f t="shared" si="0"/>
        <v/>
      </c>
      <c r="C40" s="496">
        <f>IF(D11="","-",+C39+1)</f>
        <v>2036</v>
      </c>
      <c r="D40" s="509">
        <f>IF(F39+SUM(E$17:E39)=D$10,F39,D$10-SUM(E$17:E39))</f>
        <v>2903439.2738732197</v>
      </c>
      <c r="E40" s="510">
        <f t="shared" si="16"/>
        <v>212067.91176470587</v>
      </c>
      <c r="F40" s="511">
        <f t="shared" si="17"/>
        <v>2691371.3621085137</v>
      </c>
      <c r="G40" s="512">
        <f t="shared" si="18"/>
        <v>509759.80962903542</v>
      </c>
      <c r="H40" s="478">
        <f t="shared" si="19"/>
        <v>509759.80962903542</v>
      </c>
      <c r="I40" s="501">
        <f t="shared" si="6"/>
        <v>0</v>
      </c>
      <c r="J40" s="501"/>
      <c r="K40" s="513"/>
      <c r="L40" s="505">
        <f t="shared" si="20"/>
        <v>0</v>
      </c>
      <c r="M40" s="513"/>
      <c r="N40" s="505">
        <f t="shared" si="4"/>
        <v>0</v>
      </c>
      <c r="O40" s="505">
        <f t="shared" si="5"/>
        <v>0</v>
      </c>
      <c r="P40" s="279"/>
      <c r="R40" s="244"/>
      <c r="S40" s="244"/>
      <c r="T40" s="244"/>
      <c r="U40" s="244"/>
    </row>
    <row r="41" spans="2:21">
      <c r="B41" s="145" t="str">
        <f t="shared" si="0"/>
        <v/>
      </c>
      <c r="C41" s="496">
        <f>IF(D12="","-",+C40+1)</f>
        <v>2037</v>
      </c>
      <c r="D41" s="509">
        <f>IF(F40+SUM(E$17:E40)=D$10,F40,D$10-SUM(E$17:E40))</f>
        <v>2691371.3621085137</v>
      </c>
      <c r="E41" s="510">
        <f t="shared" si="16"/>
        <v>212067.91176470587</v>
      </c>
      <c r="F41" s="511">
        <f t="shared" si="17"/>
        <v>2479303.4503438077</v>
      </c>
      <c r="G41" s="512">
        <f t="shared" si="18"/>
        <v>487192.14711572404</v>
      </c>
      <c r="H41" s="478">
        <f t="shared" si="19"/>
        <v>487192.14711572404</v>
      </c>
      <c r="I41" s="501">
        <f t="shared" si="6"/>
        <v>0</v>
      </c>
      <c r="J41" s="501"/>
      <c r="K41" s="513"/>
      <c r="L41" s="505">
        <f t="shared" si="20"/>
        <v>0</v>
      </c>
      <c r="M41" s="513"/>
      <c r="N41" s="505">
        <f t="shared" si="4"/>
        <v>0</v>
      </c>
      <c r="O41" s="505">
        <f t="shared" si="5"/>
        <v>0</v>
      </c>
      <c r="P41" s="279"/>
      <c r="R41" s="244"/>
      <c r="S41" s="244"/>
      <c r="T41" s="244"/>
      <c r="U41" s="244"/>
    </row>
    <row r="42" spans="2:21">
      <c r="B42" s="145" t="str">
        <f t="shared" si="0"/>
        <v/>
      </c>
      <c r="C42" s="496">
        <f>IF(D13="","-",+C41+1)</f>
        <v>2038</v>
      </c>
      <c r="D42" s="509">
        <f>IF(F41+SUM(E$17:E41)=D$10,F41,D$10-SUM(E$17:E41))</f>
        <v>2479303.4503438077</v>
      </c>
      <c r="E42" s="510">
        <f t="shared" si="16"/>
        <v>212067.91176470587</v>
      </c>
      <c r="F42" s="511">
        <f t="shared" si="17"/>
        <v>2267235.5385791017</v>
      </c>
      <c r="G42" s="512">
        <f t="shared" si="18"/>
        <v>464624.48460241256</v>
      </c>
      <c r="H42" s="478">
        <f t="shared" si="19"/>
        <v>464624.48460241256</v>
      </c>
      <c r="I42" s="501">
        <f t="shared" si="6"/>
        <v>0</v>
      </c>
      <c r="J42" s="501"/>
      <c r="K42" s="513"/>
      <c r="L42" s="505">
        <f t="shared" si="20"/>
        <v>0</v>
      </c>
      <c r="M42" s="513"/>
      <c r="N42" s="505">
        <f t="shared" si="4"/>
        <v>0</v>
      </c>
      <c r="O42" s="505">
        <f t="shared" si="5"/>
        <v>0</v>
      </c>
      <c r="P42" s="279"/>
      <c r="R42" s="244"/>
      <c r="S42" s="244"/>
      <c r="T42" s="244"/>
      <c r="U42" s="244"/>
    </row>
    <row r="43" spans="2:21">
      <c r="B43" s="145" t="str">
        <f t="shared" si="0"/>
        <v/>
      </c>
      <c r="C43" s="496">
        <f>IF(D11="","-",+C42+1)</f>
        <v>2039</v>
      </c>
      <c r="D43" s="509">
        <f>IF(F42+SUM(E$17:E42)=D$10,F42,D$10-SUM(E$17:E42))</f>
        <v>2267235.5385791017</v>
      </c>
      <c r="E43" s="510">
        <f t="shared" si="16"/>
        <v>212067.91176470587</v>
      </c>
      <c r="F43" s="511">
        <f t="shared" si="17"/>
        <v>2055167.6268143959</v>
      </c>
      <c r="G43" s="512">
        <f t="shared" si="18"/>
        <v>442056.82208910119</v>
      </c>
      <c r="H43" s="478">
        <f t="shared" si="19"/>
        <v>442056.82208910119</v>
      </c>
      <c r="I43" s="501">
        <f t="shared" si="6"/>
        <v>0</v>
      </c>
      <c r="J43" s="501"/>
      <c r="K43" s="513"/>
      <c r="L43" s="505">
        <f t="shared" si="20"/>
        <v>0</v>
      </c>
      <c r="M43" s="513"/>
      <c r="N43" s="505">
        <f t="shared" si="4"/>
        <v>0</v>
      </c>
      <c r="O43" s="505">
        <f t="shared" si="5"/>
        <v>0</v>
      </c>
      <c r="P43" s="279"/>
      <c r="R43" s="244"/>
      <c r="S43" s="244"/>
      <c r="T43" s="244"/>
      <c r="U43" s="244"/>
    </row>
    <row r="44" spans="2:21">
      <c r="B44" s="145" t="str">
        <f t="shared" si="0"/>
        <v/>
      </c>
      <c r="C44" s="496">
        <f>IF(D11="","-",+C43+1)</f>
        <v>2040</v>
      </c>
      <c r="D44" s="509">
        <f>IF(F43+SUM(E$17:E43)=D$10,F43,D$10-SUM(E$17:E43))</f>
        <v>2055167.6268143959</v>
      </c>
      <c r="E44" s="510">
        <f t="shared" si="16"/>
        <v>212067.91176470587</v>
      </c>
      <c r="F44" s="511">
        <f t="shared" si="17"/>
        <v>1843099.7150496901</v>
      </c>
      <c r="G44" s="512">
        <f t="shared" si="18"/>
        <v>419489.1595757897</v>
      </c>
      <c r="H44" s="478">
        <f t="shared" si="19"/>
        <v>419489.1595757897</v>
      </c>
      <c r="I44" s="501">
        <f t="shared" si="6"/>
        <v>0</v>
      </c>
      <c r="J44" s="501"/>
      <c r="K44" s="513"/>
      <c r="L44" s="505">
        <f t="shared" si="20"/>
        <v>0</v>
      </c>
      <c r="M44" s="513"/>
      <c r="N44" s="505">
        <f t="shared" si="4"/>
        <v>0</v>
      </c>
      <c r="O44" s="505">
        <f t="shared" si="5"/>
        <v>0</v>
      </c>
      <c r="P44" s="279"/>
      <c r="R44" s="244"/>
      <c r="S44" s="244"/>
      <c r="T44" s="244"/>
      <c r="U44" s="244"/>
    </row>
    <row r="45" spans="2:21">
      <c r="B45" s="145" t="str">
        <f t="shared" si="0"/>
        <v/>
      </c>
      <c r="C45" s="496">
        <f>IF(D11="","-",+C44+1)</f>
        <v>2041</v>
      </c>
      <c r="D45" s="509">
        <f>IF(F44+SUM(E$17:E44)=D$10,F44,D$10-SUM(E$17:E44))</f>
        <v>1843099.7150496901</v>
      </c>
      <c r="E45" s="510">
        <f t="shared" si="16"/>
        <v>212067.91176470587</v>
      </c>
      <c r="F45" s="511">
        <f t="shared" si="17"/>
        <v>1631031.8032849843</v>
      </c>
      <c r="G45" s="512">
        <f t="shared" si="18"/>
        <v>396921.49706247833</v>
      </c>
      <c r="H45" s="478">
        <f t="shared" si="19"/>
        <v>396921.49706247833</v>
      </c>
      <c r="I45" s="501">
        <f t="shared" si="6"/>
        <v>0</v>
      </c>
      <c r="J45" s="501"/>
      <c r="K45" s="513"/>
      <c r="L45" s="505">
        <f t="shared" si="20"/>
        <v>0</v>
      </c>
      <c r="M45" s="513"/>
      <c r="N45" s="505">
        <f t="shared" si="4"/>
        <v>0</v>
      </c>
      <c r="O45" s="505">
        <f t="shared" si="5"/>
        <v>0</v>
      </c>
      <c r="P45" s="279"/>
      <c r="R45" s="244"/>
      <c r="S45" s="244"/>
      <c r="T45" s="244"/>
      <c r="U45" s="244"/>
    </row>
    <row r="46" spans="2:21">
      <c r="B46" s="145" t="str">
        <f t="shared" si="0"/>
        <v/>
      </c>
      <c r="C46" s="496">
        <f>IF(D11="","-",+C45+1)</f>
        <v>2042</v>
      </c>
      <c r="D46" s="509">
        <f>IF(F45+SUM(E$17:E45)=D$10,F45,D$10-SUM(E$17:E45))</f>
        <v>1631031.8032849843</v>
      </c>
      <c r="E46" s="510">
        <f t="shared" si="16"/>
        <v>212067.91176470587</v>
      </c>
      <c r="F46" s="511">
        <f t="shared" si="17"/>
        <v>1418963.8915202785</v>
      </c>
      <c r="G46" s="512">
        <f t="shared" si="18"/>
        <v>374353.83454916696</v>
      </c>
      <c r="H46" s="478">
        <f t="shared" si="19"/>
        <v>374353.83454916696</v>
      </c>
      <c r="I46" s="501">
        <f t="shared" si="6"/>
        <v>0</v>
      </c>
      <c r="J46" s="501"/>
      <c r="K46" s="513"/>
      <c r="L46" s="505">
        <f t="shared" si="20"/>
        <v>0</v>
      </c>
      <c r="M46" s="513"/>
      <c r="N46" s="505">
        <f t="shared" si="4"/>
        <v>0</v>
      </c>
      <c r="O46" s="505">
        <f t="shared" si="5"/>
        <v>0</v>
      </c>
      <c r="P46" s="279"/>
      <c r="R46" s="244"/>
      <c r="S46" s="244"/>
      <c r="T46" s="244"/>
      <c r="U46" s="244"/>
    </row>
    <row r="47" spans="2:21">
      <c r="B47" s="145" t="str">
        <f t="shared" si="0"/>
        <v/>
      </c>
      <c r="C47" s="496">
        <f>IF(D11="","-",+C46+1)</f>
        <v>2043</v>
      </c>
      <c r="D47" s="509">
        <f>IF(F46+SUM(E$17:E46)=D$10,F46,D$10-SUM(E$17:E46))</f>
        <v>1418963.8915202785</v>
      </c>
      <c r="E47" s="510">
        <f t="shared" si="16"/>
        <v>212067.91176470587</v>
      </c>
      <c r="F47" s="511">
        <f t="shared" si="17"/>
        <v>1206895.9797555727</v>
      </c>
      <c r="G47" s="512">
        <f t="shared" si="18"/>
        <v>351786.17203585559</v>
      </c>
      <c r="H47" s="478">
        <f t="shared" si="19"/>
        <v>351786.17203585559</v>
      </c>
      <c r="I47" s="501">
        <f t="shared" si="6"/>
        <v>0</v>
      </c>
      <c r="J47" s="501"/>
      <c r="K47" s="513"/>
      <c r="L47" s="505">
        <f t="shared" si="20"/>
        <v>0</v>
      </c>
      <c r="M47" s="513"/>
      <c r="N47" s="505">
        <f t="shared" si="4"/>
        <v>0</v>
      </c>
      <c r="O47" s="505">
        <f t="shared" si="5"/>
        <v>0</v>
      </c>
      <c r="P47" s="279"/>
      <c r="R47" s="244"/>
      <c r="S47" s="244"/>
      <c r="T47" s="244"/>
      <c r="U47" s="244"/>
    </row>
    <row r="48" spans="2:21">
      <c r="B48" s="145" t="str">
        <f t="shared" si="0"/>
        <v/>
      </c>
      <c r="C48" s="496">
        <f>IF(D11="","-",+C47+1)</f>
        <v>2044</v>
      </c>
      <c r="D48" s="509">
        <f>IF(F47+SUM(E$17:E47)=D$10,F47,D$10-SUM(E$17:E47))</f>
        <v>1206895.9797555727</v>
      </c>
      <c r="E48" s="510">
        <f t="shared" si="16"/>
        <v>212067.91176470587</v>
      </c>
      <c r="F48" s="511">
        <f t="shared" si="17"/>
        <v>994828.06799086684</v>
      </c>
      <c r="G48" s="512">
        <f t="shared" si="18"/>
        <v>329218.5095225441</v>
      </c>
      <c r="H48" s="478">
        <f t="shared" si="19"/>
        <v>329218.5095225441</v>
      </c>
      <c r="I48" s="501">
        <f t="shared" si="6"/>
        <v>0</v>
      </c>
      <c r="J48" s="501"/>
      <c r="K48" s="513"/>
      <c r="L48" s="505">
        <f t="shared" si="20"/>
        <v>0</v>
      </c>
      <c r="M48" s="513"/>
      <c r="N48" s="505">
        <f t="shared" si="4"/>
        <v>0</v>
      </c>
      <c r="O48" s="505">
        <f t="shared" si="5"/>
        <v>0</v>
      </c>
      <c r="P48" s="279"/>
      <c r="R48" s="244"/>
      <c r="S48" s="244"/>
      <c r="T48" s="244"/>
      <c r="U48" s="244"/>
    </row>
    <row r="49" spans="2:21">
      <c r="B49" s="145" t="str">
        <f t="shared" si="0"/>
        <v/>
      </c>
      <c r="C49" s="496">
        <f>IF(D11="","-",+C48+1)</f>
        <v>2045</v>
      </c>
      <c r="D49" s="509">
        <f>IF(F48+SUM(E$17:E48)=D$10,F48,D$10-SUM(E$17:E48))</f>
        <v>994828.06799086684</v>
      </c>
      <c r="E49" s="510">
        <f t="shared" si="16"/>
        <v>212067.91176470587</v>
      </c>
      <c r="F49" s="511">
        <f t="shared" si="17"/>
        <v>782760.15622616094</v>
      </c>
      <c r="G49" s="512">
        <f t="shared" si="18"/>
        <v>306650.84700923273</v>
      </c>
      <c r="H49" s="478">
        <f t="shared" si="19"/>
        <v>306650.84700923273</v>
      </c>
      <c r="I49" s="501">
        <f t="shared" si="6"/>
        <v>0</v>
      </c>
      <c r="J49" s="501"/>
      <c r="K49" s="513"/>
      <c r="L49" s="505">
        <f t="shared" si="20"/>
        <v>0</v>
      </c>
      <c r="M49" s="513"/>
      <c r="N49" s="505">
        <f t="shared" si="4"/>
        <v>0</v>
      </c>
      <c r="O49" s="505">
        <f t="shared" si="5"/>
        <v>0</v>
      </c>
      <c r="P49" s="279"/>
      <c r="R49" s="244"/>
      <c r="S49" s="244"/>
      <c r="T49" s="244"/>
      <c r="U49" s="244"/>
    </row>
    <row r="50" spans="2:21">
      <c r="B50" s="145" t="str">
        <f t="shared" si="0"/>
        <v/>
      </c>
      <c r="C50" s="496">
        <f>IF(D11="","-",+C49+1)</f>
        <v>2046</v>
      </c>
      <c r="D50" s="509">
        <f>IF(F49+SUM(E$17:E49)=D$10,F49,D$10-SUM(E$17:E49))</f>
        <v>782760.15622616094</v>
      </c>
      <c r="E50" s="510">
        <f t="shared" si="16"/>
        <v>212067.91176470587</v>
      </c>
      <c r="F50" s="511">
        <f t="shared" si="17"/>
        <v>570692.24446145503</v>
      </c>
      <c r="G50" s="512">
        <f t="shared" si="18"/>
        <v>284083.1844959213</v>
      </c>
      <c r="H50" s="478">
        <f t="shared" si="19"/>
        <v>284083.1844959213</v>
      </c>
      <c r="I50" s="501">
        <f t="shared" si="6"/>
        <v>0</v>
      </c>
      <c r="J50" s="501"/>
      <c r="K50" s="513"/>
      <c r="L50" s="505">
        <f t="shared" si="20"/>
        <v>0</v>
      </c>
      <c r="M50" s="513"/>
      <c r="N50" s="505">
        <f t="shared" si="4"/>
        <v>0</v>
      </c>
      <c r="O50" s="505">
        <f t="shared" si="5"/>
        <v>0</v>
      </c>
      <c r="P50" s="279"/>
      <c r="R50" s="244"/>
      <c r="S50" s="244"/>
      <c r="T50" s="244"/>
      <c r="U50" s="244"/>
    </row>
    <row r="51" spans="2:21">
      <c r="B51" s="145" t="str">
        <f t="shared" si="0"/>
        <v/>
      </c>
      <c r="C51" s="496">
        <f>IF(D11="","-",+C50+1)</f>
        <v>2047</v>
      </c>
      <c r="D51" s="509">
        <f>IF(F50+SUM(E$17:E50)=D$10,F50,D$10-SUM(E$17:E50))</f>
        <v>570692.24446145503</v>
      </c>
      <c r="E51" s="510">
        <f t="shared" si="16"/>
        <v>212067.91176470587</v>
      </c>
      <c r="F51" s="511">
        <f t="shared" si="17"/>
        <v>358624.33269674913</v>
      </c>
      <c r="G51" s="512">
        <f t="shared" si="18"/>
        <v>261515.52198260988</v>
      </c>
      <c r="H51" s="478">
        <f t="shared" si="19"/>
        <v>261515.52198260988</v>
      </c>
      <c r="I51" s="501">
        <f t="shared" si="6"/>
        <v>0</v>
      </c>
      <c r="J51" s="501"/>
      <c r="K51" s="513"/>
      <c r="L51" s="505">
        <f t="shared" si="20"/>
        <v>0</v>
      </c>
      <c r="M51" s="513"/>
      <c r="N51" s="505">
        <f t="shared" si="4"/>
        <v>0</v>
      </c>
      <c r="O51" s="505">
        <f t="shared" si="5"/>
        <v>0</v>
      </c>
      <c r="P51" s="279"/>
      <c r="R51" s="244"/>
      <c r="S51" s="244"/>
      <c r="T51" s="244"/>
      <c r="U51" s="244"/>
    </row>
    <row r="52" spans="2:21">
      <c r="B52" s="145" t="str">
        <f t="shared" si="0"/>
        <v/>
      </c>
      <c r="C52" s="496">
        <f>IF(D11="","-",+C51+1)</f>
        <v>2048</v>
      </c>
      <c r="D52" s="509">
        <f>IF(F51+SUM(E$17:E51)=D$10,F51,D$10-SUM(E$17:E51))</f>
        <v>358624.33269674913</v>
      </c>
      <c r="E52" s="510">
        <f t="shared" si="16"/>
        <v>212067.91176470587</v>
      </c>
      <c r="F52" s="511">
        <f t="shared" si="17"/>
        <v>146556.42093204326</v>
      </c>
      <c r="G52" s="512">
        <f t="shared" si="18"/>
        <v>238947.85946929848</v>
      </c>
      <c r="H52" s="478">
        <f t="shared" si="19"/>
        <v>238947.85946929848</v>
      </c>
      <c r="I52" s="501">
        <f t="shared" si="6"/>
        <v>0</v>
      </c>
      <c r="J52" s="501"/>
      <c r="K52" s="513"/>
      <c r="L52" s="505">
        <f t="shared" si="20"/>
        <v>0</v>
      </c>
      <c r="M52" s="513"/>
      <c r="N52" s="505">
        <f t="shared" si="4"/>
        <v>0</v>
      </c>
      <c r="O52" s="505">
        <f t="shared" si="5"/>
        <v>0</v>
      </c>
      <c r="P52" s="279"/>
      <c r="R52" s="244"/>
      <c r="S52" s="244"/>
      <c r="T52" s="244"/>
      <c r="U52" s="244"/>
    </row>
    <row r="53" spans="2:21">
      <c r="B53" s="145" t="str">
        <f t="shared" si="0"/>
        <v/>
      </c>
      <c r="C53" s="496">
        <f>IF(D11="","-",+C52+1)</f>
        <v>2049</v>
      </c>
      <c r="D53" s="509">
        <f>IF(F52+SUM(E$17:E52)=D$10,F52,D$10-SUM(E$17:E52))</f>
        <v>146556.42093204326</v>
      </c>
      <c r="E53" s="510">
        <f t="shared" si="16"/>
        <v>146556.42093204326</v>
      </c>
      <c r="F53" s="511">
        <f t="shared" si="17"/>
        <v>0</v>
      </c>
      <c r="G53" s="512">
        <f t="shared" si="18"/>
        <v>154354.47915601172</v>
      </c>
      <c r="H53" s="478">
        <f t="shared" si="19"/>
        <v>154354.47915601172</v>
      </c>
      <c r="I53" s="501">
        <f t="shared" si="6"/>
        <v>0</v>
      </c>
      <c r="J53" s="501"/>
      <c r="K53" s="513"/>
      <c r="L53" s="505">
        <f t="shared" si="20"/>
        <v>0</v>
      </c>
      <c r="M53" s="513"/>
      <c r="N53" s="505">
        <f t="shared" si="4"/>
        <v>0</v>
      </c>
      <c r="O53" s="505">
        <f t="shared" si="5"/>
        <v>0</v>
      </c>
      <c r="P53" s="279"/>
      <c r="R53" s="244"/>
      <c r="S53" s="244"/>
      <c r="T53" s="244"/>
      <c r="U53" s="244"/>
    </row>
    <row r="54" spans="2:21">
      <c r="B54" s="145" t="str">
        <f t="shared" si="0"/>
        <v/>
      </c>
      <c r="C54" s="496">
        <f>IF(D11="","-",+C53+1)</f>
        <v>2050</v>
      </c>
      <c r="D54" s="509">
        <f>IF(F53+SUM(E$17:E53)=D$10,F53,D$10-SUM(E$17:E53))</f>
        <v>0</v>
      </c>
      <c r="E54" s="510">
        <f t="shared" si="16"/>
        <v>0</v>
      </c>
      <c r="F54" s="511">
        <f t="shared" si="17"/>
        <v>0</v>
      </c>
      <c r="G54" s="512">
        <f t="shared" si="18"/>
        <v>0</v>
      </c>
      <c r="H54" s="478">
        <f t="shared" si="19"/>
        <v>0</v>
      </c>
      <c r="I54" s="501">
        <f t="shared" si="6"/>
        <v>0</v>
      </c>
      <c r="J54" s="501"/>
      <c r="K54" s="513"/>
      <c r="L54" s="505">
        <f t="shared" si="20"/>
        <v>0</v>
      </c>
      <c r="M54" s="513"/>
      <c r="N54" s="505">
        <f t="shared" si="4"/>
        <v>0</v>
      </c>
      <c r="O54" s="505">
        <f t="shared" si="5"/>
        <v>0</v>
      </c>
      <c r="P54" s="279"/>
      <c r="R54" s="244"/>
      <c r="S54" s="244"/>
      <c r="T54" s="244"/>
      <c r="U54" s="244"/>
    </row>
    <row r="55" spans="2:21">
      <c r="B55" s="145" t="str">
        <f t="shared" si="0"/>
        <v/>
      </c>
      <c r="C55" s="496">
        <f>IF(D11="","-",+C54+1)</f>
        <v>2051</v>
      </c>
      <c r="D55" s="509">
        <f>IF(F54+SUM(E$17:E54)=D$10,F54,D$10-SUM(E$17:E54))</f>
        <v>0</v>
      </c>
      <c r="E55" s="510">
        <f t="shared" si="16"/>
        <v>0</v>
      </c>
      <c r="F55" s="511">
        <f t="shared" si="17"/>
        <v>0</v>
      </c>
      <c r="G55" s="512">
        <f t="shared" si="18"/>
        <v>0</v>
      </c>
      <c r="H55" s="478">
        <f t="shared" si="19"/>
        <v>0</v>
      </c>
      <c r="I55" s="501">
        <f t="shared" si="6"/>
        <v>0</v>
      </c>
      <c r="J55" s="501"/>
      <c r="K55" s="513"/>
      <c r="L55" s="505">
        <f t="shared" si="20"/>
        <v>0</v>
      </c>
      <c r="M55" s="513"/>
      <c r="N55" s="505">
        <f t="shared" si="4"/>
        <v>0</v>
      </c>
      <c r="O55" s="505">
        <f t="shared" si="5"/>
        <v>0</v>
      </c>
      <c r="P55" s="279"/>
      <c r="R55" s="244"/>
      <c r="S55" s="244"/>
      <c r="T55" s="244"/>
      <c r="U55" s="244"/>
    </row>
    <row r="56" spans="2:21">
      <c r="B56" s="145" t="str">
        <f t="shared" si="0"/>
        <v/>
      </c>
      <c r="C56" s="496">
        <f>IF(D11="","-",+C55+1)</f>
        <v>2052</v>
      </c>
      <c r="D56" s="509">
        <f>IF(F55+SUM(E$17:E55)=D$10,F55,D$10-SUM(E$17:E55))</f>
        <v>0</v>
      </c>
      <c r="E56" s="510">
        <f t="shared" si="16"/>
        <v>0</v>
      </c>
      <c r="F56" s="511">
        <f t="shared" si="17"/>
        <v>0</v>
      </c>
      <c r="G56" s="512">
        <f t="shared" si="18"/>
        <v>0</v>
      </c>
      <c r="H56" s="478">
        <f t="shared" si="19"/>
        <v>0</v>
      </c>
      <c r="I56" s="501">
        <f t="shared" si="6"/>
        <v>0</v>
      </c>
      <c r="J56" s="501"/>
      <c r="K56" s="513"/>
      <c r="L56" s="505">
        <f t="shared" si="20"/>
        <v>0</v>
      </c>
      <c r="M56" s="513"/>
      <c r="N56" s="505">
        <f t="shared" si="4"/>
        <v>0</v>
      </c>
      <c r="O56" s="505">
        <f t="shared" si="5"/>
        <v>0</v>
      </c>
      <c r="P56" s="279"/>
      <c r="R56" s="244"/>
      <c r="S56" s="244"/>
      <c r="T56" s="244"/>
      <c r="U56" s="244"/>
    </row>
    <row r="57" spans="2:21">
      <c r="B57" s="145" t="str">
        <f t="shared" si="0"/>
        <v/>
      </c>
      <c r="C57" s="496">
        <f>IF(D11="","-",+C56+1)</f>
        <v>2053</v>
      </c>
      <c r="D57" s="509">
        <f>IF(F56+SUM(E$17:E56)=D$10,F56,D$10-SUM(E$17:E56))</f>
        <v>0</v>
      </c>
      <c r="E57" s="510">
        <f t="shared" si="16"/>
        <v>0</v>
      </c>
      <c r="F57" s="511">
        <f t="shared" si="17"/>
        <v>0</v>
      </c>
      <c r="G57" s="512">
        <f t="shared" si="18"/>
        <v>0</v>
      </c>
      <c r="H57" s="478">
        <f t="shared" si="19"/>
        <v>0</v>
      </c>
      <c r="I57" s="501">
        <f t="shared" si="6"/>
        <v>0</v>
      </c>
      <c r="J57" s="501"/>
      <c r="K57" s="513"/>
      <c r="L57" s="505">
        <f t="shared" si="20"/>
        <v>0</v>
      </c>
      <c r="M57" s="513"/>
      <c r="N57" s="505">
        <f t="shared" si="4"/>
        <v>0</v>
      </c>
      <c r="O57" s="505">
        <f t="shared" si="5"/>
        <v>0</v>
      </c>
      <c r="P57" s="279"/>
      <c r="R57" s="244"/>
      <c r="S57" s="244"/>
      <c r="T57" s="244"/>
      <c r="U57" s="244"/>
    </row>
    <row r="58" spans="2:21">
      <c r="B58" s="145" t="str">
        <f t="shared" si="0"/>
        <v/>
      </c>
      <c r="C58" s="496">
        <f>IF(D11="","-",+C57+1)</f>
        <v>2054</v>
      </c>
      <c r="D58" s="509">
        <f>IF(F57+SUM(E$17:E57)=D$10,F57,D$10-SUM(E$17:E57))</f>
        <v>0</v>
      </c>
      <c r="E58" s="510">
        <f t="shared" si="16"/>
        <v>0</v>
      </c>
      <c r="F58" s="511">
        <f t="shared" si="17"/>
        <v>0</v>
      </c>
      <c r="G58" s="512">
        <f t="shared" si="18"/>
        <v>0</v>
      </c>
      <c r="H58" s="478">
        <f t="shared" si="19"/>
        <v>0</v>
      </c>
      <c r="I58" s="501">
        <f t="shared" si="6"/>
        <v>0</v>
      </c>
      <c r="J58" s="501"/>
      <c r="K58" s="513"/>
      <c r="L58" s="505">
        <f t="shared" si="20"/>
        <v>0</v>
      </c>
      <c r="M58" s="513"/>
      <c r="N58" s="505">
        <f t="shared" si="4"/>
        <v>0</v>
      </c>
      <c r="O58" s="505">
        <f t="shared" si="5"/>
        <v>0</v>
      </c>
      <c r="P58" s="279"/>
      <c r="R58" s="244"/>
      <c r="S58" s="244"/>
      <c r="T58" s="244"/>
      <c r="U58" s="244"/>
    </row>
    <row r="59" spans="2:21">
      <c r="B59" s="145" t="str">
        <f t="shared" si="0"/>
        <v/>
      </c>
      <c r="C59" s="496">
        <f>IF(D11="","-",+C58+1)</f>
        <v>2055</v>
      </c>
      <c r="D59" s="509">
        <f>IF(F58+SUM(E$17:E58)=D$10,F58,D$10-SUM(E$17:E58))</f>
        <v>0</v>
      </c>
      <c r="E59" s="510">
        <f t="shared" si="16"/>
        <v>0</v>
      </c>
      <c r="F59" s="511">
        <f t="shared" si="17"/>
        <v>0</v>
      </c>
      <c r="G59" s="512">
        <f t="shared" si="18"/>
        <v>0</v>
      </c>
      <c r="H59" s="478">
        <f t="shared" si="19"/>
        <v>0</v>
      </c>
      <c r="I59" s="501">
        <f t="shared" si="6"/>
        <v>0</v>
      </c>
      <c r="J59" s="501"/>
      <c r="K59" s="513"/>
      <c r="L59" s="505">
        <f t="shared" si="20"/>
        <v>0</v>
      </c>
      <c r="M59" s="513"/>
      <c r="N59" s="505">
        <f t="shared" si="4"/>
        <v>0</v>
      </c>
      <c r="O59" s="505">
        <f t="shared" si="5"/>
        <v>0</v>
      </c>
      <c r="P59" s="279"/>
      <c r="R59" s="244"/>
      <c r="S59" s="244"/>
      <c r="T59" s="244"/>
      <c r="U59" s="244"/>
    </row>
    <row r="60" spans="2:21">
      <c r="B60" s="145" t="str">
        <f t="shared" si="0"/>
        <v/>
      </c>
      <c r="C60" s="496">
        <f>IF(D11="","-",+C59+1)</f>
        <v>2056</v>
      </c>
      <c r="D60" s="509">
        <f>IF(F59+SUM(E$17:E59)=D$10,F59,D$10-SUM(E$17:E59))</f>
        <v>0</v>
      </c>
      <c r="E60" s="510">
        <f t="shared" si="16"/>
        <v>0</v>
      </c>
      <c r="F60" s="511">
        <f t="shared" si="17"/>
        <v>0</v>
      </c>
      <c r="G60" s="512">
        <f t="shared" si="18"/>
        <v>0</v>
      </c>
      <c r="H60" s="478">
        <f t="shared" si="19"/>
        <v>0</v>
      </c>
      <c r="I60" s="501">
        <f t="shared" si="6"/>
        <v>0</v>
      </c>
      <c r="J60" s="501"/>
      <c r="K60" s="513"/>
      <c r="L60" s="505">
        <f t="shared" si="20"/>
        <v>0</v>
      </c>
      <c r="M60" s="513"/>
      <c r="N60" s="505">
        <f t="shared" si="4"/>
        <v>0</v>
      </c>
      <c r="O60" s="505">
        <f t="shared" si="5"/>
        <v>0</v>
      </c>
      <c r="P60" s="279"/>
      <c r="R60" s="244"/>
      <c r="S60" s="244"/>
      <c r="T60" s="244"/>
      <c r="U60" s="244"/>
    </row>
    <row r="61" spans="2:21">
      <c r="B61" s="145" t="str">
        <f t="shared" si="0"/>
        <v/>
      </c>
      <c r="C61" s="496">
        <f>IF(D11="","-",+C60+1)</f>
        <v>2057</v>
      </c>
      <c r="D61" s="509">
        <f>IF(F60+SUM(E$17:E60)=D$10,F60,D$10-SUM(E$17:E60))</f>
        <v>0</v>
      </c>
      <c r="E61" s="510">
        <f t="shared" si="16"/>
        <v>0</v>
      </c>
      <c r="F61" s="511">
        <f t="shared" si="17"/>
        <v>0</v>
      </c>
      <c r="G61" s="512">
        <f t="shared" si="18"/>
        <v>0</v>
      </c>
      <c r="H61" s="478">
        <f t="shared" si="19"/>
        <v>0</v>
      </c>
      <c r="I61" s="501">
        <f t="shared" si="6"/>
        <v>0</v>
      </c>
      <c r="J61" s="501"/>
      <c r="K61" s="513"/>
      <c r="L61" s="505">
        <f t="shared" si="20"/>
        <v>0</v>
      </c>
      <c r="M61" s="513"/>
      <c r="N61" s="505">
        <f t="shared" si="4"/>
        <v>0</v>
      </c>
      <c r="O61" s="505">
        <f t="shared" si="5"/>
        <v>0</v>
      </c>
      <c r="P61" s="279"/>
      <c r="R61" s="244"/>
      <c r="S61" s="244"/>
      <c r="T61" s="244"/>
      <c r="U61" s="244"/>
    </row>
    <row r="62" spans="2:21">
      <c r="B62" s="145" t="str">
        <f t="shared" si="0"/>
        <v/>
      </c>
      <c r="C62" s="496">
        <f>IF(D11="","-",+C61+1)</f>
        <v>2058</v>
      </c>
      <c r="D62" s="509">
        <f>IF(F61+SUM(E$17:E61)=D$10,F61,D$10-SUM(E$17:E61))</f>
        <v>0</v>
      </c>
      <c r="E62" s="510">
        <f t="shared" si="16"/>
        <v>0</v>
      </c>
      <c r="F62" s="511">
        <f t="shared" si="17"/>
        <v>0</v>
      </c>
      <c r="G62" s="512">
        <f t="shared" si="18"/>
        <v>0</v>
      </c>
      <c r="H62" s="478">
        <f t="shared" si="19"/>
        <v>0</v>
      </c>
      <c r="I62" s="501">
        <f t="shared" si="6"/>
        <v>0</v>
      </c>
      <c r="J62" s="501"/>
      <c r="K62" s="513"/>
      <c r="L62" s="505">
        <f t="shared" si="20"/>
        <v>0</v>
      </c>
      <c r="M62" s="513"/>
      <c r="N62" s="505">
        <f t="shared" si="4"/>
        <v>0</v>
      </c>
      <c r="O62" s="505">
        <f t="shared" si="5"/>
        <v>0</v>
      </c>
      <c r="P62" s="279"/>
      <c r="R62" s="244"/>
      <c r="S62" s="244"/>
      <c r="T62" s="244"/>
      <c r="U62" s="244"/>
    </row>
    <row r="63" spans="2:21">
      <c r="B63" s="145" t="str">
        <f t="shared" si="0"/>
        <v/>
      </c>
      <c r="C63" s="496">
        <f>IF(D11="","-",+C62+1)</f>
        <v>2059</v>
      </c>
      <c r="D63" s="509">
        <f>IF(F62+SUM(E$17:E62)=D$10,F62,D$10-SUM(E$17:E62))</f>
        <v>0</v>
      </c>
      <c r="E63" s="510">
        <f t="shared" si="16"/>
        <v>0</v>
      </c>
      <c r="F63" s="511">
        <f t="shared" si="17"/>
        <v>0</v>
      </c>
      <c r="G63" s="512">
        <f t="shared" si="18"/>
        <v>0</v>
      </c>
      <c r="H63" s="478">
        <f t="shared" si="19"/>
        <v>0</v>
      </c>
      <c r="I63" s="501">
        <f t="shared" si="6"/>
        <v>0</v>
      </c>
      <c r="J63" s="501"/>
      <c r="K63" s="513"/>
      <c r="L63" s="505">
        <f t="shared" si="20"/>
        <v>0</v>
      </c>
      <c r="M63" s="513"/>
      <c r="N63" s="505">
        <f t="shared" si="4"/>
        <v>0</v>
      </c>
      <c r="O63" s="505">
        <f t="shared" si="5"/>
        <v>0</v>
      </c>
      <c r="P63" s="279"/>
      <c r="R63" s="244"/>
      <c r="S63" s="244"/>
      <c r="T63" s="244"/>
      <c r="U63" s="244"/>
    </row>
    <row r="64" spans="2:21">
      <c r="B64" s="145" t="str">
        <f>IF(D64=F63,"","IU")</f>
        <v/>
      </c>
      <c r="C64" s="496">
        <f>IF(D11="","-",+C63+1)</f>
        <v>2060</v>
      </c>
      <c r="D64" s="509">
        <f>IF(F63+SUM(E$17:E63)=D$10,F63,D$10-SUM(E$17:E63))</f>
        <v>0</v>
      </c>
      <c r="E64" s="510">
        <f t="shared" si="16"/>
        <v>0</v>
      </c>
      <c r="F64" s="511">
        <f t="shared" si="17"/>
        <v>0</v>
      </c>
      <c r="G64" s="512">
        <f t="shared" si="18"/>
        <v>0</v>
      </c>
      <c r="H64" s="478">
        <f t="shared" si="19"/>
        <v>0</v>
      </c>
      <c r="I64" s="501">
        <f t="shared" si="6"/>
        <v>0</v>
      </c>
      <c r="J64" s="501"/>
      <c r="K64" s="513"/>
      <c r="L64" s="505">
        <f t="shared" si="20"/>
        <v>0</v>
      </c>
      <c r="M64" s="513"/>
      <c r="N64" s="505">
        <f t="shared" si="4"/>
        <v>0</v>
      </c>
      <c r="O64" s="505">
        <f t="shared" si="5"/>
        <v>0</v>
      </c>
      <c r="P64" s="279"/>
      <c r="R64" s="244"/>
      <c r="S64" s="244"/>
      <c r="T64" s="244"/>
      <c r="U64" s="244"/>
    </row>
    <row r="65" spans="2:21">
      <c r="B65" s="145" t="str">
        <f t="shared" si="0"/>
        <v/>
      </c>
      <c r="C65" s="496">
        <f>IF(D11="","-",+C64+1)</f>
        <v>2061</v>
      </c>
      <c r="D65" s="509">
        <f>IF(F64+SUM(E$17:E64)=D$10,F64,D$10-SUM(E$17:E64))</f>
        <v>0</v>
      </c>
      <c r="E65" s="510">
        <f t="shared" si="16"/>
        <v>0</v>
      </c>
      <c r="F65" s="511">
        <f t="shared" si="17"/>
        <v>0</v>
      </c>
      <c r="G65" s="512">
        <f t="shared" si="18"/>
        <v>0</v>
      </c>
      <c r="H65" s="478">
        <f t="shared" si="19"/>
        <v>0</v>
      </c>
      <c r="I65" s="501">
        <f t="shared" si="6"/>
        <v>0</v>
      </c>
      <c r="J65" s="501"/>
      <c r="K65" s="513"/>
      <c r="L65" s="505">
        <f t="shared" si="20"/>
        <v>0</v>
      </c>
      <c r="M65" s="513"/>
      <c r="N65" s="505">
        <f t="shared" si="4"/>
        <v>0</v>
      </c>
      <c r="O65" s="505">
        <f t="shared" si="5"/>
        <v>0</v>
      </c>
      <c r="P65" s="279"/>
      <c r="R65" s="244"/>
      <c r="S65" s="244"/>
      <c r="T65" s="244"/>
      <c r="U65" s="244"/>
    </row>
    <row r="66" spans="2:21">
      <c r="B66" s="145" t="str">
        <f t="shared" si="0"/>
        <v/>
      </c>
      <c r="C66" s="496">
        <f>IF(D11="","-",+C65+1)</f>
        <v>2062</v>
      </c>
      <c r="D66" s="509">
        <f>IF(F65+SUM(E$17:E65)=D$10,F65,D$10-SUM(E$17:E65))</f>
        <v>0</v>
      </c>
      <c r="E66" s="510">
        <f t="shared" si="16"/>
        <v>0</v>
      </c>
      <c r="F66" s="511">
        <f t="shared" si="17"/>
        <v>0</v>
      </c>
      <c r="G66" s="512">
        <f t="shared" si="18"/>
        <v>0</v>
      </c>
      <c r="H66" s="478">
        <f t="shared" si="19"/>
        <v>0</v>
      </c>
      <c r="I66" s="501">
        <f t="shared" si="6"/>
        <v>0</v>
      </c>
      <c r="J66" s="501"/>
      <c r="K66" s="513"/>
      <c r="L66" s="505">
        <f t="shared" si="20"/>
        <v>0</v>
      </c>
      <c r="M66" s="513"/>
      <c r="N66" s="505">
        <f t="shared" si="4"/>
        <v>0</v>
      </c>
      <c r="O66" s="505">
        <f t="shared" si="5"/>
        <v>0</v>
      </c>
      <c r="P66" s="279"/>
      <c r="R66" s="244"/>
      <c r="S66" s="244"/>
      <c r="T66" s="244"/>
      <c r="U66" s="244"/>
    </row>
    <row r="67" spans="2:21">
      <c r="B67" s="145" t="str">
        <f t="shared" si="0"/>
        <v/>
      </c>
      <c r="C67" s="496">
        <f>IF(D11="","-",+C66+1)</f>
        <v>2063</v>
      </c>
      <c r="D67" s="509">
        <f>IF(F66+SUM(E$17:E66)=D$10,F66,D$10-SUM(E$17:E66))</f>
        <v>0</v>
      </c>
      <c r="E67" s="510">
        <f t="shared" si="16"/>
        <v>0</v>
      </c>
      <c r="F67" s="511">
        <f t="shared" si="17"/>
        <v>0</v>
      </c>
      <c r="G67" s="512">
        <f t="shared" si="18"/>
        <v>0</v>
      </c>
      <c r="H67" s="478">
        <f t="shared" si="19"/>
        <v>0</v>
      </c>
      <c r="I67" s="501">
        <f t="shared" si="6"/>
        <v>0</v>
      </c>
      <c r="J67" s="501"/>
      <c r="K67" s="513"/>
      <c r="L67" s="505">
        <f t="shared" si="20"/>
        <v>0</v>
      </c>
      <c r="M67" s="513"/>
      <c r="N67" s="505">
        <f t="shared" si="4"/>
        <v>0</v>
      </c>
      <c r="O67" s="505">
        <f t="shared" si="5"/>
        <v>0</v>
      </c>
      <c r="P67" s="279"/>
      <c r="R67" s="244"/>
      <c r="S67" s="244"/>
      <c r="T67" s="244"/>
      <c r="U67" s="244"/>
    </row>
    <row r="68" spans="2:21">
      <c r="B68" s="145" t="str">
        <f t="shared" si="0"/>
        <v/>
      </c>
      <c r="C68" s="496">
        <f>IF(D11="","-",+C67+1)</f>
        <v>2064</v>
      </c>
      <c r="D68" s="509">
        <f>IF(F67+SUM(E$17:E67)=D$10,F67,D$10-SUM(E$17:E67))</f>
        <v>0</v>
      </c>
      <c r="E68" s="510">
        <f t="shared" si="16"/>
        <v>0</v>
      </c>
      <c r="F68" s="511">
        <f t="shared" si="17"/>
        <v>0</v>
      </c>
      <c r="G68" s="512">
        <f t="shared" si="18"/>
        <v>0</v>
      </c>
      <c r="H68" s="478">
        <f t="shared" si="19"/>
        <v>0</v>
      </c>
      <c r="I68" s="501">
        <f t="shared" si="6"/>
        <v>0</v>
      </c>
      <c r="J68" s="501"/>
      <c r="K68" s="513"/>
      <c r="L68" s="505">
        <f t="shared" si="20"/>
        <v>0</v>
      </c>
      <c r="M68" s="513"/>
      <c r="N68" s="505">
        <f t="shared" si="4"/>
        <v>0</v>
      </c>
      <c r="O68" s="505">
        <f t="shared" si="5"/>
        <v>0</v>
      </c>
      <c r="P68" s="279"/>
      <c r="R68" s="244"/>
      <c r="S68" s="244"/>
      <c r="T68" s="244"/>
      <c r="U68" s="244"/>
    </row>
    <row r="69" spans="2:21">
      <c r="B69" s="145" t="str">
        <f t="shared" si="0"/>
        <v/>
      </c>
      <c r="C69" s="496">
        <f>IF(D11="","-",+C68+1)</f>
        <v>2065</v>
      </c>
      <c r="D69" s="509">
        <f>IF(F68+SUM(E$17:E68)=D$10,F68,D$10-SUM(E$17:E68))</f>
        <v>0</v>
      </c>
      <c r="E69" s="510">
        <f t="shared" si="16"/>
        <v>0</v>
      </c>
      <c r="F69" s="511">
        <f t="shared" si="17"/>
        <v>0</v>
      </c>
      <c r="G69" s="512">
        <f t="shared" si="18"/>
        <v>0</v>
      </c>
      <c r="H69" s="478">
        <f t="shared" si="19"/>
        <v>0</v>
      </c>
      <c r="I69" s="501">
        <f t="shared" si="6"/>
        <v>0</v>
      </c>
      <c r="J69" s="501"/>
      <c r="K69" s="513"/>
      <c r="L69" s="505">
        <f t="shared" si="20"/>
        <v>0</v>
      </c>
      <c r="M69" s="513"/>
      <c r="N69" s="505">
        <f t="shared" si="4"/>
        <v>0</v>
      </c>
      <c r="O69" s="505">
        <f t="shared" si="5"/>
        <v>0</v>
      </c>
      <c r="P69" s="279"/>
      <c r="R69" s="244"/>
      <c r="S69" s="244"/>
      <c r="T69" s="244"/>
      <c r="U69" s="244"/>
    </row>
    <row r="70" spans="2:21">
      <c r="B70" s="145" t="str">
        <f t="shared" si="0"/>
        <v/>
      </c>
      <c r="C70" s="496">
        <f>IF(D11="","-",+C69+1)</f>
        <v>2066</v>
      </c>
      <c r="D70" s="509">
        <f>IF(F69+SUM(E$17:E69)=D$10,F69,D$10-SUM(E$17:E69))</f>
        <v>0</v>
      </c>
      <c r="E70" s="510">
        <f t="shared" si="16"/>
        <v>0</v>
      </c>
      <c r="F70" s="511">
        <f t="shared" si="17"/>
        <v>0</v>
      </c>
      <c r="G70" s="512">
        <f t="shared" si="18"/>
        <v>0</v>
      </c>
      <c r="H70" s="478">
        <f t="shared" si="19"/>
        <v>0</v>
      </c>
      <c r="I70" s="501">
        <f t="shared" si="6"/>
        <v>0</v>
      </c>
      <c r="J70" s="501"/>
      <c r="K70" s="513"/>
      <c r="L70" s="505">
        <f t="shared" si="20"/>
        <v>0</v>
      </c>
      <c r="M70" s="513"/>
      <c r="N70" s="505">
        <f t="shared" si="4"/>
        <v>0</v>
      </c>
      <c r="O70" s="505">
        <f t="shared" si="5"/>
        <v>0</v>
      </c>
      <c r="P70" s="279"/>
      <c r="R70" s="244"/>
      <c r="S70" s="244"/>
      <c r="T70" s="244"/>
      <c r="U70" s="244"/>
    </row>
    <row r="71" spans="2:21">
      <c r="B71" s="145" t="str">
        <f t="shared" si="0"/>
        <v/>
      </c>
      <c r="C71" s="496">
        <f>IF(D11="","-",+C70+1)</f>
        <v>2067</v>
      </c>
      <c r="D71" s="509">
        <f>IF(F70+SUM(E$17:E70)=D$10,F70,D$10-SUM(E$17:E70))</f>
        <v>0</v>
      </c>
      <c r="E71" s="510">
        <f t="shared" si="16"/>
        <v>0</v>
      </c>
      <c r="F71" s="511">
        <f t="shared" si="17"/>
        <v>0</v>
      </c>
      <c r="G71" s="512">
        <f t="shared" si="18"/>
        <v>0</v>
      </c>
      <c r="H71" s="478">
        <f t="shared" si="19"/>
        <v>0</v>
      </c>
      <c r="I71" s="501">
        <f t="shared" si="6"/>
        <v>0</v>
      </c>
      <c r="J71" s="501"/>
      <c r="K71" s="513"/>
      <c r="L71" s="505">
        <f t="shared" si="20"/>
        <v>0</v>
      </c>
      <c r="M71" s="513"/>
      <c r="N71" s="505">
        <f t="shared" si="4"/>
        <v>0</v>
      </c>
      <c r="O71" s="505">
        <f t="shared" si="5"/>
        <v>0</v>
      </c>
      <c r="P71" s="279"/>
      <c r="R71" s="244"/>
      <c r="S71" s="244"/>
      <c r="T71" s="244"/>
      <c r="U71" s="244"/>
    </row>
    <row r="72" spans="2:21">
      <c r="B72" s="145" t="str">
        <f t="shared" si="0"/>
        <v/>
      </c>
      <c r="C72" s="496">
        <f>IF(D11="","-",+C71+1)</f>
        <v>2068</v>
      </c>
      <c r="D72" s="509">
        <f>IF(F71+SUM(E$17:E71)=D$10,F71,D$10-SUM(E$17:E71))</f>
        <v>0</v>
      </c>
      <c r="E72" s="510">
        <f t="shared" si="16"/>
        <v>0</v>
      </c>
      <c r="F72" s="511">
        <f t="shared" si="17"/>
        <v>0</v>
      </c>
      <c r="G72" s="512">
        <f t="shared" si="18"/>
        <v>0</v>
      </c>
      <c r="H72" s="478">
        <f t="shared" si="19"/>
        <v>0</v>
      </c>
      <c r="I72" s="501">
        <f t="shared" si="6"/>
        <v>0</v>
      </c>
      <c r="J72" s="501"/>
      <c r="K72" s="513"/>
      <c r="L72" s="505">
        <f t="shared" si="20"/>
        <v>0</v>
      </c>
      <c r="M72" s="513"/>
      <c r="N72" s="505">
        <f t="shared" si="4"/>
        <v>0</v>
      </c>
      <c r="O72" s="505">
        <f t="shared" si="5"/>
        <v>0</v>
      </c>
      <c r="P72" s="279"/>
      <c r="R72" s="244"/>
      <c r="S72" s="244"/>
      <c r="T72" s="244"/>
      <c r="U72" s="244"/>
    </row>
    <row r="73" spans="2:21" ht="13.5" thickBot="1">
      <c r="B73" s="145" t="str">
        <f t="shared" si="0"/>
        <v/>
      </c>
      <c r="C73" s="525">
        <f>IF(D11="","-",+C72+1)</f>
        <v>2069</v>
      </c>
      <c r="D73" s="526">
        <f>IF(F72+SUM(E$17:E72)=D$10,F72,D$10-SUM(E$17:E72))</f>
        <v>0</v>
      </c>
      <c r="E73" s="527">
        <f t="shared" si="16"/>
        <v>0</v>
      </c>
      <c r="F73" s="528">
        <f t="shared" si="17"/>
        <v>0</v>
      </c>
      <c r="G73" s="528">
        <f t="shared" si="18"/>
        <v>0</v>
      </c>
      <c r="H73" s="528">
        <f t="shared" si="19"/>
        <v>0</v>
      </c>
      <c r="I73" s="530">
        <f t="shared" si="6"/>
        <v>0</v>
      </c>
      <c r="J73" s="501"/>
      <c r="K73" s="531"/>
      <c r="L73" s="532">
        <f t="shared" si="20"/>
        <v>0</v>
      </c>
      <c r="M73" s="531"/>
      <c r="N73" s="532">
        <f t="shared" si="4"/>
        <v>0</v>
      </c>
      <c r="O73" s="532">
        <f t="shared" si="5"/>
        <v>0</v>
      </c>
      <c r="P73" s="279"/>
      <c r="R73" s="244"/>
      <c r="S73" s="244"/>
      <c r="T73" s="244"/>
      <c r="U73" s="244"/>
    </row>
    <row r="74" spans="2:21">
      <c r="C74" s="350" t="s">
        <v>75</v>
      </c>
      <c r="D74" s="295"/>
      <c r="E74" s="295">
        <f>SUM(E17:E73)</f>
        <v>7210308.9999999981</v>
      </c>
      <c r="F74" s="295"/>
      <c r="G74" s="295">
        <f>SUM(G17:G73)</f>
        <v>21722385.025714584</v>
      </c>
      <c r="H74" s="295">
        <f>SUM(H17:H73)</f>
        <v>21722385.025714584</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10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876471.96738932701</v>
      </c>
      <c r="N88" s="545">
        <f>IF(J93&lt;D11,0,VLOOKUP(J93,C17:O73,11))</f>
        <v>876471.96738932701</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988677.86959528725</v>
      </c>
      <c r="N89" s="549">
        <f>IF(J93&lt;D11,0,VLOOKUP(J93,C100:P155,7))</f>
        <v>988677.86959528725</v>
      </c>
      <c r="O89" s="550">
        <f>+N89-M89</f>
        <v>0</v>
      </c>
      <c r="P89" s="244"/>
      <c r="Q89" s="244"/>
      <c r="R89" s="244"/>
      <c r="S89" s="244"/>
      <c r="T89" s="244"/>
      <c r="U89" s="244"/>
    </row>
    <row r="90" spans="1:21" ht="13.5" thickBot="1">
      <c r="C90" s="455" t="s">
        <v>82</v>
      </c>
      <c r="D90" s="551" t="str">
        <f>+D7</f>
        <v>Wapanucka Customer Connection</v>
      </c>
      <c r="E90" s="244"/>
      <c r="F90" s="244"/>
      <c r="G90" s="244"/>
      <c r="H90" s="244"/>
      <c r="I90" s="326"/>
      <c r="J90" s="326"/>
      <c r="K90" s="552"/>
      <c r="L90" s="553" t="s">
        <v>135</v>
      </c>
      <c r="M90" s="554">
        <f>+M89-M88</f>
        <v>112205.90220596024</v>
      </c>
      <c r="N90" s="554">
        <f>+N89-N88</f>
        <v>112205.90220596024</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TP2012141</v>
      </c>
      <c r="E92" s="559"/>
      <c r="F92" s="559"/>
      <c r="G92" s="559"/>
      <c r="H92" s="559"/>
      <c r="I92" s="559"/>
      <c r="J92" s="559"/>
      <c r="K92" s="561"/>
      <c r="P92" s="469"/>
      <c r="Q92" s="244"/>
      <c r="R92" s="244"/>
      <c r="S92" s="244"/>
      <c r="T92" s="244"/>
      <c r="U92" s="244"/>
    </row>
    <row r="93" spans="1:21">
      <c r="C93" s="473" t="s">
        <v>49</v>
      </c>
      <c r="D93" s="623">
        <v>7210309</v>
      </c>
      <c r="E93" s="249" t="s">
        <v>84</v>
      </c>
      <c r="H93" s="409"/>
      <c r="I93" s="409"/>
      <c r="J93" s="472">
        <f>+'OKT.WS.G.BPU.ATRR.True-up'!M16</f>
        <v>2021</v>
      </c>
      <c r="K93" s="468"/>
      <c r="L93" s="295" t="s">
        <v>85</v>
      </c>
      <c r="P93" s="279"/>
      <c r="Q93" s="244"/>
      <c r="R93" s="244"/>
      <c r="S93" s="244"/>
      <c r="T93" s="244"/>
      <c r="U93" s="244"/>
    </row>
    <row r="94" spans="1:21">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12</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288412.36</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2013</v>
      </c>
      <c r="D100" s="350"/>
      <c r="E100" s="512"/>
      <c r="F100" s="511"/>
      <c r="G100" s="606"/>
      <c r="H100" s="606"/>
      <c r="I100" s="606"/>
      <c r="J100" s="505"/>
      <c r="K100" s="505"/>
      <c r="L100" s="502"/>
      <c r="M100" s="503">
        <f t="shared" ref="M100:M131" si="21">IF(L100&lt;&gt;0,+H100-L100,0)</f>
        <v>0</v>
      </c>
      <c r="N100" s="502"/>
      <c r="O100" s="504">
        <f t="shared" ref="O100:O131" si="22">IF(N100&lt;&gt;0,+I100-N100,0)</f>
        <v>0</v>
      </c>
      <c r="P100" s="504">
        <f t="shared" ref="P100:P131" si="23">+O100-M100</f>
        <v>0</v>
      </c>
      <c r="Q100" s="244"/>
      <c r="R100" s="244"/>
      <c r="S100" s="244"/>
      <c r="T100" s="244"/>
      <c r="U100" s="244"/>
    </row>
    <row r="101" spans="1:21">
      <c r="C101" s="496">
        <f>IF(D94="","-",+C100+1)</f>
        <v>2014</v>
      </c>
      <c r="D101" s="350"/>
      <c r="E101" s="510"/>
      <c r="F101" s="511"/>
      <c r="G101" s="511"/>
      <c r="H101" s="627"/>
      <c r="I101" s="628"/>
      <c r="J101" s="505"/>
      <c r="K101" s="505"/>
      <c r="L101" s="507"/>
      <c r="M101" s="508">
        <f t="shared" si="21"/>
        <v>0</v>
      </c>
      <c r="N101" s="507"/>
      <c r="O101" s="505">
        <f t="shared" si="22"/>
        <v>0</v>
      </c>
      <c r="P101" s="505">
        <f t="shared" si="23"/>
        <v>0</v>
      </c>
      <c r="Q101" s="244"/>
      <c r="R101" s="244"/>
      <c r="S101" s="244"/>
      <c r="T101" s="244"/>
      <c r="U101" s="244"/>
    </row>
    <row r="102" spans="1:21">
      <c r="B102" s="145" t="str">
        <f t="shared" ref="B102:B155" si="24">IF(D102=F101,"","IU")</f>
        <v>IU</v>
      </c>
      <c r="C102" s="496">
        <f>IF(D94="","-",+C101+1)</f>
        <v>2015</v>
      </c>
      <c r="D102" s="497">
        <v>7076304.3908220464</v>
      </c>
      <c r="E102" s="499">
        <v>150018.20833333334</v>
      </c>
      <c r="F102" s="506">
        <v>6926286.1824887134</v>
      </c>
      <c r="G102" s="506">
        <v>7001295.2866553795</v>
      </c>
      <c r="H102" s="499">
        <v>929468.41200641857</v>
      </c>
      <c r="I102" s="500">
        <v>929468.41200641857</v>
      </c>
      <c r="J102" s="505">
        <v>0</v>
      </c>
      <c r="K102" s="505"/>
      <c r="L102" s="507">
        <f t="shared" ref="L102:L107" si="25">H102</f>
        <v>929468.41200641857</v>
      </c>
      <c r="M102" s="505">
        <f t="shared" ref="M102:M107" si="26">IF(L102&lt;&gt;0,+H102-L102,0)</f>
        <v>0</v>
      </c>
      <c r="N102" s="507">
        <f t="shared" ref="N102:N107" si="27">I102</f>
        <v>929468.41200641857</v>
      </c>
      <c r="O102" s="505">
        <f t="shared" si="22"/>
        <v>0</v>
      </c>
      <c r="P102" s="505">
        <f t="shared" si="23"/>
        <v>0</v>
      </c>
      <c r="Q102" s="244"/>
      <c r="R102" s="244"/>
      <c r="S102" s="244"/>
      <c r="T102" s="244"/>
      <c r="U102" s="244"/>
    </row>
    <row r="103" spans="1:21">
      <c r="B103" s="145" t="str">
        <f t="shared" si="24"/>
        <v>IU</v>
      </c>
      <c r="C103" s="496">
        <f>IF(D94="","-",+C102+1)</f>
        <v>2016</v>
      </c>
      <c r="D103" s="497">
        <v>7060290.791666667</v>
      </c>
      <c r="E103" s="499">
        <v>141378.60784313726</v>
      </c>
      <c r="F103" s="506">
        <v>6918912.1838235296</v>
      </c>
      <c r="G103" s="506">
        <v>6989601.4877450988</v>
      </c>
      <c r="H103" s="499">
        <v>898837.94259524392</v>
      </c>
      <c r="I103" s="500">
        <v>898837.94259524392</v>
      </c>
      <c r="J103" s="505">
        <f>+I103-H103</f>
        <v>0</v>
      </c>
      <c r="K103" s="505"/>
      <c r="L103" s="507">
        <f t="shared" si="25"/>
        <v>898837.94259524392</v>
      </c>
      <c r="M103" s="505">
        <f t="shared" si="26"/>
        <v>0</v>
      </c>
      <c r="N103" s="507">
        <f t="shared" si="27"/>
        <v>898837.94259524392</v>
      </c>
      <c r="O103" s="505">
        <f>IF(N103&lt;&gt;0,+I103-N103,0)</f>
        <v>0</v>
      </c>
      <c r="P103" s="505">
        <f>+O103-M103</f>
        <v>0</v>
      </c>
      <c r="Q103" s="244"/>
      <c r="R103" s="244"/>
      <c r="S103" s="244"/>
      <c r="T103" s="244"/>
      <c r="U103" s="244"/>
    </row>
    <row r="104" spans="1:21">
      <c r="B104" s="145" t="str">
        <f t="shared" si="24"/>
        <v/>
      </c>
      <c r="C104" s="496">
        <f>IF(D94="","-",+C103+1)</f>
        <v>2017</v>
      </c>
      <c r="D104" s="497">
        <v>6918912.1838235296</v>
      </c>
      <c r="E104" s="499">
        <v>180257.72500000001</v>
      </c>
      <c r="F104" s="506">
        <v>6738654.45882353</v>
      </c>
      <c r="G104" s="506">
        <v>6828783.3213235298</v>
      </c>
      <c r="H104" s="499">
        <v>981518.91752081981</v>
      </c>
      <c r="I104" s="500">
        <v>981518.91752081981</v>
      </c>
      <c r="J104" s="505">
        <f t="shared" ref="J104:J155" si="28">+I104-H104</f>
        <v>0</v>
      </c>
      <c r="K104" s="505"/>
      <c r="L104" s="507">
        <f t="shared" si="25"/>
        <v>981518.91752081981</v>
      </c>
      <c r="M104" s="505">
        <f t="shared" si="26"/>
        <v>0</v>
      </c>
      <c r="N104" s="507">
        <f t="shared" si="27"/>
        <v>981518.91752081981</v>
      </c>
      <c r="O104" s="505">
        <f>IF(N104&lt;&gt;0,+I104-N104,0)</f>
        <v>0</v>
      </c>
      <c r="P104" s="505">
        <f>+O104-M104</f>
        <v>0</v>
      </c>
      <c r="Q104" s="244"/>
      <c r="R104" s="244"/>
      <c r="S104" s="244"/>
      <c r="T104" s="244"/>
      <c r="U104" s="244"/>
    </row>
    <row r="105" spans="1:21">
      <c r="B105" s="145" t="str">
        <f t="shared" si="24"/>
        <v/>
      </c>
      <c r="C105" s="496">
        <f>IF(D94="","-",+C104+1)</f>
        <v>2018</v>
      </c>
      <c r="D105" s="497">
        <v>6738654.45882353</v>
      </c>
      <c r="E105" s="499">
        <v>200286.36111111112</v>
      </c>
      <c r="F105" s="506">
        <v>6538368.097712419</v>
      </c>
      <c r="G105" s="506">
        <v>6638511.278267974</v>
      </c>
      <c r="H105" s="499">
        <v>901063.87001696113</v>
      </c>
      <c r="I105" s="500">
        <v>901063.87001696113</v>
      </c>
      <c r="J105" s="505">
        <f t="shared" si="28"/>
        <v>0</v>
      </c>
      <c r="K105" s="505"/>
      <c r="L105" s="507">
        <f t="shared" si="25"/>
        <v>901063.87001696113</v>
      </c>
      <c r="M105" s="505">
        <f t="shared" si="26"/>
        <v>0</v>
      </c>
      <c r="N105" s="507">
        <f t="shared" si="27"/>
        <v>901063.87001696113</v>
      </c>
      <c r="O105" s="505">
        <f>IF(N105&lt;&gt;0,+I105-N105,0)</f>
        <v>0</v>
      </c>
      <c r="P105" s="505">
        <f>+O105-M105</f>
        <v>0</v>
      </c>
      <c r="Q105" s="244"/>
      <c r="R105" s="244"/>
      <c r="S105" s="244"/>
      <c r="T105" s="244"/>
      <c r="U105" s="244"/>
    </row>
    <row r="106" spans="1:21">
      <c r="B106" s="145" t="str">
        <f t="shared" si="24"/>
        <v/>
      </c>
      <c r="C106" s="496">
        <f>IF(D94="","-",+C105+1)</f>
        <v>2019</v>
      </c>
      <c r="D106" s="497">
        <v>6538368.097712419</v>
      </c>
      <c r="E106" s="499">
        <v>200286.36111111112</v>
      </c>
      <c r="F106" s="506">
        <v>6338081.736601308</v>
      </c>
      <c r="G106" s="506">
        <v>6438224.917156864</v>
      </c>
      <c r="H106" s="499">
        <v>879921.15121692908</v>
      </c>
      <c r="I106" s="500">
        <v>879921.15121692908</v>
      </c>
      <c r="J106" s="505">
        <f t="shared" si="28"/>
        <v>0</v>
      </c>
      <c r="K106" s="505"/>
      <c r="L106" s="507">
        <f t="shared" si="25"/>
        <v>879921.15121692908</v>
      </c>
      <c r="M106" s="505">
        <f t="shared" si="26"/>
        <v>0</v>
      </c>
      <c r="N106" s="507">
        <f t="shared" si="27"/>
        <v>879921.15121692908</v>
      </c>
      <c r="O106" s="505">
        <f>IF(N106&lt;&gt;0,+I106-N106,0)</f>
        <v>0</v>
      </c>
      <c r="P106" s="505">
        <f t="shared" si="23"/>
        <v>0</v>
      </c>
      <c r="Q106" s="244"/>
      <c r="R106" s="244"/>
      <c r="S106" s="244"/>
      <c r="T106" s="244"/>
      <c r="U106" s="244"/>
    </row>
    <row r="107" spans="1:21">
      <c r="B107" s="145" t="str">
        <f t="shared" si="24"/>
        <v/>
      </c>
      <c r="C107" s="496">
        <f>IF(D94="","-",+C106+1)</f>
        <v>2020</v>
      </c>
      <c r="D107" s="497">
        <v>6338081.736601308</v>
      </c>
      <c r="E107" s="499">
        <v>257511.03571428571</v>
      </c>
      <c r="F107" s="506">
        <v>6080570.7008870225</v>
      </c>
      <c r="G107" s="506">
        <v>6209326.2187441653</v>
      </c>
      <c r="H107" s="499">
        <v>918267.16489887808</v>
      </c>
      <c r="I107" s="500">
        <v>918267.16489887808</v>
      </c>
      <c r="J107" s="505">
        <f t="shared" si="28"/>
        <v>0</v>
      </c>
      <c r="K107" s="505"/>
      <c r="L107" s="507">
        <f t="shared" si="25"/>
        <v>918267.16489887808</v>
      </c>
      <c r="M107" s="505">
        <f t="shared" si="26"/>
        <v>0</v>
      </c>
      <c r="N107" s="507">
        <f t="shared" si="27"/>
        <v>918267.16489887808</v>
      </c>
      <c r="O107" s="505">
        <f t="shared" si="22"/>
        <v>0</v>
      </c>
      <c r="P107" s="505">
        <f t="shared" si="23"/>
        <v>0</v>
      </c>
      <c r="Q107" s="244"/>
      <c r="R107" s="244"/>
      <c r="S107" s="244"/>
      <c r="T107" s="244"/>
      <c r="U107" s="244"/>
    </row>
    <row r="108" spans="1:21">
      <c r="B108" s="145" t="str">
        <f t="shared" si="24"/>
        <v/>
      </c>
      <c r="C108" s="496">
        <f>IF(D94="","-",+C107+1)</f>
        <v>2021</v>
      </c>
      <c r="D108" s="350">
        <f>IF(F107+SUM(E$100:E107)=D$93,F107,D$93-SUM(E$100:E107))</f>
        <v>6080570.7008870225</v>
      </c>
      <c r="E108" s="629">
        <f t="shared" ref="E108:E155" si="29">IF(+$J$97&lt;F107,$J$97,D108)</f>
        <v>288412.36</v>
      </c>
      <c r="F108" s="511">
        <f t="shared" ref="F108:F155" si="30">+D108-E108</f>
        <v>5792158.3408870222</v>
      </c>
      <c r="G108" s="511">
        <f t="shared" ref="G108:G155" si="31">+(F108+D108)/2</f>
        <v>5936364.5208870228</v>
      </c>
      <c r="H108" s="646">
        <f t="shared" ref="H108:H155" si="32">(D108+F108)/2*J$95+E108</f>
        <v>988677.86959528725</v>
      </c>
      <c r="I108" s="630">
        <f t="shared" ref="I108:I155" si="33">+J$96*G108+E108</f>
        <v>988677.86959528725</v>
      </c>
      <c r="J108" s="505">
        <f t="shared" si="28"/>
        <v>0</v>
      </c>
      <c r="K108" s="505"/>
      <c r="L108" s="513"/>
      <c r="M108" s="505">
        <f t="shared" si="21"/>
        <v>0</v>
      </c>
      <c r="N108" s="513"/>
      <c r="O108" s="505">
        <f t="shared" si="22"/>
        <v>0</v>
      </c>
      <c r="P108" s="505">
        <f t="shared" si="23"/>
        <v>0</v>
      </c>
      <c r="Q108" s="244"/>
      <c r="R108" s="244"/>
      <c r="S108" s="244"/>
      <c r="T108" s="244"/>
      <c r="U108" s="244"/>
    </row>
    <row r="109" spans="1:21">
      <c r="B109" s="145" t="str">
        <f t="shared" si="24"/>
        <v/>
      </c>
      <c r="C109" s="496">
        <f>IF(D94="","-",+C108+1)</f>
        <v>2022</v>
      </c>
      <c r="D109" s="350">
        <f>IF(F108+SUM(E$100:E108)=D$93,F108,D$93-SUM(E$100:E108))</f>
        <v>5792158.3408870222</v>
      </c>
      <c r="E109" s="629">
        <f t="shared" si="29"/>
        <v>288412.36</v>
      </c>
      <c r="F109" s="511">
        <f t="shared" si="30"/>
        <v>5503745.9808870219</v>
      </c>
      <c r="G109" s="511">
        <f t="shared" si="31"/>
        <v>5647952.1608870216</v>
      </c>
      <c r="H109" s="646">
        <f t="shared" si="32"/>
        <v>954656.16699626914</v>
      </c>
      <c r="I109" s="630">
        <f t="shared" si="33"/>
        <v>954656.16699626914</v>
      </c>
      <c r="J109" s="505">
        <f t="shared" si="28"/>
        <v>0</v>
      </c>
      <c r="K109" s="505"/>
      <c r="L109" s="513"/>
      <c r="M109" s="505">
        <f t="shared" si="21"/>
        <v>0</v>
      </c>
      <c r="N109" s="513"/>
      <c r="O109" s="505">
        <f t="shared" si="22"/>
        <v>0</v>
      </c>
      <c r="P109" s="505">
        <f t="shared" si="23"/>
        <v>0</v>
      </c>
      <c r="Q109" s="244"/>
      <c r="R109" s="244"/>
      <c r="S109" s="244"/>
      <c r="T109" s="244"/>
      <c r="U109" s="244"/>
    </row>
    <row r="110" spans="1:21">
      <c r="B110" s="145" t="str">
        <f t="shared" si="24"/>
        <v/>
      </c>
      <c r="C110" s="496">
        <f>IF(D94="","-",+C109+1)</f>
        <v>2023</v>
      </c>
      <c r="D110" s="350">
        <f>IF(F109+SUM(E$100:E109)=D$93,F109,D$93-SUM(E$100:E109))</f>
        <v>5503745.9808870219</v>
      </c>
      <c r="E110" s="629">
        <f t="shared" si="29"/>
        <v>288412.36</v>
      </c>
      <c r="F110" s="511">
        <f t="shared" si="30"/>
        <v>5215333.6208870215</v>
      </c>
      <c r="G110" s="511">
        <f t="shared" si="31"/>
        <v>5359539.8008870222</v>
      </c>
      <c r="H110" s="646">
        <f t="shared" si="32"/>
        <v>920634.46439725137</v>
      </c>
      <c r="I110" s="630">
        <f t="shared" si="33"/>
        <v>920634.46439725137</v>
      </c>
      <c r="J110" s="505">
        <f t="shared" si="28"/>
        <v>0</v>
      </c>
      <c r="K110" s="505"/>
      <c r="L110" s="513"/>
      <c r="M110" s="505">
        <f t="shared" si="21"/>
        <v>0</v>
      </c>
      <c r="N110" s="513"/>
      <c r="O110" s="505">
        <f t="shared" si="22"/>
        <v>0</v>
      </c>
      <c r="P110" s="505">
        <f t="shared" si="23"/>
        <v>0</v>
      </c>
      <c r="Q110" s="244"/>
      <c r="R110" s="244"/>
      <c r="S110" s="244"/>
      <c r="T110" s="244"/>
      <c r="U110" s="244"/>
    </row>
    <row r="111" spans="1:21">
      <c r="B111" s="145" t="str">
        <f t="shared" si="24"/>
        <v/>
      </c>
      <c r="C111" s="496">
        <f>IF(D94="","-",+C110+1)</f>
        <v>2024</v>
      </c>
      <c r="D111" s="350">
        <f>IF(F110+SUM(E$100:E110)=D$93,F110,D$93-SUM(E$100:E110))</f>
        <v>5215333.6208870215</v>
      </c>
      <c r="E111" s="629">
        <f t="shared" si="29"/>
        <v>288412.36</v>
      </c>
      <c r="F111" s="511">
        <f t="shared" si="30"/>
        <v>4926921.2608870212</v>
      </c>
      <c r="G111" s="511">
        <f t="shared" si="31"/>
        <v>5071127.4408870209</v>
      </c>
      <c r="H111" s="646">
        <f t="shared" si="32"/>
        <v>886612.76179823338</v>
      </c>
      <c r="I111" s="630">
        <f t="shared" si="33"/>
        <v>886612.76179823338</v>
      </c>
      <c r="J111" s="505">
        <f t="shared" si="28"/>
        <v>0</v>
      </c>
      <c r="K111" s="505"/>
      <c r="L111" s="513"/>
      <c r="M111" s="505">
        <f t="shared" si="21"/>
        <v>0</v>
      </c>
      <c r="N111" s="513"/>
      <c r="O111" s="505">
        <f t="shared" si="22"/>
        <v>0</v>
      </c>
      <c r="P111" s="505">
        <f t="shared" si="23"/>
        <v>0</v>
      </c>
      <c r="Q111" s="244"/>
      <c r="R111" s="244"/>
      <c r="S111" s="244"/>
      <c r="T111" s="244"/>
      <c r="U111" s="244"/>
    </row>
    <row r="112" spans="1:21">
      <c r="B112" s="145" t="str">
        <f t="shared" si="24"/>
        <v/>
      </c>
      <c r="C112" s="496">
        <f>IF(D94="","-",+C111+1)</f>
        <v>2025</v>
      </c>
      <c r="D112" s="350">
        <f>IF(F111+SUM(E$100:E111)=D$93,F111,D$93-SUM(E$100:E111))</f>
        <v>4926921.2608870212</v>
      </c>
      <c r="E112" s="629">
        <f t="shared" si="29"/>
        <v>288412.36</v>
      </c>
      <c r="F112" s="511">
        <f t="shared" si="30"/>
        <v>4638508.9008870209</v>
      </c>
      <c r="G112" s="511">
        <f t="shared" si="31"/>
        <v>4782715.0808870215</v>
      </c>
      <c r="H112" s="646">
        <f t="shared" si="32"/>
        <v>852591.05919921561</v>
      </c>
      <c r="I112" s="630">
        <f t="shared" si="33"/>
        <v>852591.05919921561</v>
      </c>
      <c r="J112" s="505">
        <f t="shared" si="28"/>
        <v>0</v>
      </c>
      <c r="K112" s="505"/>
      <c r="L112" s="513"/>
      <c r="M112" s="505">
        <f t="shared" si="21"/>
        <v>0</v>
      </c>
      <c r="N112" s="513"/>
      <c r="O112" s="505">
        <f t="shared" si="22"/>
        <v>0</v>
      </c>
      <c r="P112" s="505">
        <f t="shared" si="23"/>
        <v>0</v>
      </c>
      <c r="Q112" s="244"/>
      <c r="R112" s="244"/>
      <c r="S112" s="244"/>
      <c r="T112" s="244"/>
      <c r="U112" s="244"/>
    </row>
    <row r="113" spans="2:21">
      <c r="B113" s="145" t="str">
        <f t="shared" si="24"/>
        <v/>
      </c>
      <c r="C113" s="496">
        <f>IF(D94="","-",+C112+1)</f>
        <v>2026</v>
      </c>
      <c r="D113" s="350">
        <f>IF(F112+SUM(E$100:E112)=D$93,F112,D$93-SUM(E$100:E112))</f>
        <v>4638508.9008870209</v>
      </c>
      <c r="E113" s="629">
        <f t="shared" si="29"/>
        <v>288412.36</v>
      </c>
      <c r="F113" s="511">
        <f t="shared" si="30"/>
        <v>4350096.5408870205</v>
      </c>
      <c r="G113" s="511">
        <f t="shared" si="31"/>
        <v>4494302.7208870202</v>
      </c>
      <c r="H113" s="646">
        <f t="shared" si="32"/>
        <v>818569.35660019761</v>
      </c>
      <c r="I113" s="630">
        <f t="shared" si="33"/>
        <v>818569.35660019761</v>
      </c>
      <c r="J113" s="505">
        <f t="shared" si="28"/>
        <v>0</v>
      </c>
      <c r="K113" s="505"/>
      <c r="L113" s="513"/>
      <c r="M113" s="505">
        <f t="shared" si="21"/>
        <v>0</v>
      </c>
      <c r="N113" s="513"/>
      <c r="O113" s="505">
        <f t="shared" si="22"/>
        <v>0</v>
      </c>
      <c r="P113" s="505">
        <f t="shared" si="23"/>
        <v>0</v>
      </c>
      <c r="Q113" s="244"/>
      <c r="R113" s="244"/>
      <c r="S113" s="244"/>
      <c r="T113" s="244"/>
      <c r="U113" s="244"/>
    </row>
    <row r="114" spans="2:21">
      <c r="B114" s="145" t="str">
        <f t="shared" si="24"/>
        <v/>
      </c>
      <c r="C114" s="496">
        <f>IF(D94="","-",+C113+1)</f>
        <v>2027</v>
      </c>
      <c r="D114" s="350">
        <f>IF(F113+SUM(E$100:E113)=D$93,F113,D$93-SUM(E$100:E113))</f>
        <v>4350096.5408870205</v>
      </c>
      <c r="E114" s="629">
        <f t="shared" si="29"/>
        <v>288412.36</v>
      </c>
      <c r="F114" s="511">
        <f t="shared" si="30"/>
        <v>4061684.1808870207</v>
      </c>
      <c r="G114" s="511">
        <f t="shared" si="31"/>
        <v>4205890.3608870208</v>
      </c>
      <c r="H114" s="646">
        <f t="shared" si="32"/>
        <v>784547.65400117985</v>
      </c>
      <c r="I114" s="630">
        <f t="shared" si="33"/>
        <v>784547.65400117985</v>
      </c>
      <c r="J114" s="505">
        <f t="shared" si="28"/>
        <v>0</v>
      </c>
      <c r="K114" s="505"/>
      <c r="L114" s="513"/>
      <c r="M114" s="505">
        <f t="shared" si="21"/>
        <v>0</v>
      </c>
      <c r="N114" s="513"/>
      <c r="O114" s="505">
        <f t="shared" si="22"/>
        <v>0</v>
      </c>
      <c r="P114" s="505">
        <f t="shared" si="23"/>
        <v>0</v>
      </c>
      <c r="Q114" s="244"/>
      <c r="R114" s="244"/>
      <c r="S114" s="244"/>
      <c r="T114" s="244"/>
      <c r="U114" s="244"/>
    </row>
    <row r="115" spans="2:21">
      <c r="B115" s="145" t="str">
        <f t="shared" si="24"/>
        <v/>
      </c>
      <c r="C115" s="496">
        <f>IF(D94="","-",+C114+1)</f>
        <v>2028</v>
      </c>
      <c r="D115" s="350">
        <f>IF(F114+SUM(E$100:E114)=D$93,F114,D$93-SUM(E$100:E114))</f>
        <v>4061684.1808870207</v>
      </c>
      <c r="E115" s="629">
        <f t="shared" si="29"/>
        <v>288412.36</v>
      </c>
      <c r="F115" s="511">
        <f t="shared" si="30"/>
        <v>3773271.8208870208</v>
      </c>
      <c r="G115" s="511">
        <f t="shared" si="31"/>
        <v>3917478.0008870205</v>
      </c>
      <c r="H115" s="646">
        <f t="shared" si="32"/>
        <v>750525.95140216197</v>
      </c>
      <c r="I115" s="630">
        <f t="shared" si="33"/>
        <v>750525.95140216197</v>
      </c>
      <c r="J115" s="505">
        <f t="shared" si="28"/>
        <v>0</v>
      </c>
      <c r="K115" s="505"/>
      <c r="L115" s="513"/>
      <c r="M115" s="505">
        <f t="shared" si="21"/>
        <v>0</v>
      </c>
      <c r="N115" s="513"/>
      <c r="O115" s="505">
        <f t="shared" si="22"/>
        <v>0</v>
      </c>
      <c r="P115" s="505">
        <f t="shared" si="23"/>
        <v>0</v>
      </c>
      <c r="Q115" s="244"/>
      <c r="R115" s="244"/>
      <c r="S115" s="244"/>
      <c r="T115" s="244"/>
      <c r="U115" s="244"/>
    </row>
    <row r="116" spans="2:21">
      <c r="B116" s="145" t="str">
        <f t="shared" si="24"/>
        <v/>
      </c>
      <c r="C116" s="496">
        <f>IF(D94="","-",+C115+1)</f>
        <v>2029</v>
      </c>
      <c r="D116" s="350">
        <f>IF(F115+SUM(E$100:E115)=D$93,F115,D$93-SUM(E$100:E115))</f>
        <v>3773271.8208870208</v>
      </c>
      <c r="E116" s="629">
        <f t="shared" si="29"/>
        <v>288412.36</v>
      </c>
      <c r="F116" s="511">
        <f t="shared" si="30"/>
        <v>3484859.4608870209</v>
      </c>
      <c r="G116" s="511">
        <f t="shared" si="31"/>
        <v>3629065.6408870211</v>
      </c>
      <c r="H116" s="646">
        <f t="shared" si="32"/>
        <v>716504.24880314409</v>
      </c>
      <c r="I116" s="630">
        <f t="shared" si="33"/>
        <v>716504.24880314409</v>
      </c>
      <c r="J116" s="505">
        <f t="shared" si="28"/>
        <v>0</v>
      </c>
      <c r="K116" s="505"/>
      <c r="L116" s="513"/>
      <c r="M116" s="505">
        <f t="shared" si="21"/>
        <v>0</v>
      </c>
      <c r="N116" s="513"/>
      <c r="O116" s="505">
        <f t="shared" si="22"/>
        <v>0</v>
      </c>
      <c r="P116" s="505">
        <f t="shared" si="23"/>
        <v>0</v>
      </c>
      <c r="Q116" s="244"/>
      <c r="R116" s="244"/>
      <c r="S116" s="244"/>
      <c r="T116" s="244"/>
      <c r="U116" s="244"/>
    </row>
    <row r="117" spans="2:21">
      <c r="B117" s="145" t="str">
        <f t="shared" si="24"/>
        <v/>
      </c>
      <c r="C117" s="496">
        <f>IF(D94="","-",+C116+1)</f>
        <v>2030</v>
      </c>
      <c r="D117" s="350">
        <f>IF(F116+SUM(E$100:E116)=D$93,F116,D$93-SUM(E$100:E116))</f>
        <v>3484859.4608870209</v>
      </c>
      <c r="E117" s="629">
        <f t="shared" si="29"/>
        <v>288412.36</v>
      </c>
      <c r="F117" s="511">
        <f t="shared" si="30"/>
        <v>3196447.100887021</v>
      </c>
      <c r="G117" s="511">
        <f t="shared" si="31"/>
        <v>3340653.2808870208</v>
      </c>
      <c r="H117" s="646">
        <f t="shared" si="32"/>
        <v>682482.54620412621</v>
      </c>
      <c r="I117" s="630">
        <f t="shared" si="33"/>
        <v>682482.54620412621</v>
      </c>
      <c r="J117" s="505">
        <f t="shared" si="28"/>
        <v>0</v>
      </c>
      <c r="K117" s="505"/>
      <c r="L117" s="513"/>
      <c r="M117" s="505">
        <f t="shared" si="21"/>
        <v>0</v>
      </c>
      <c r="N117" s="513"/>
      <c r="O117" s="505">
        <f t="shared" si="22"/>
        <v>0</v>
      </c>
      <c r="P117" s="505">
        <f t="shared" si="23"/>
        <v>0</v>
      </c>
      <c r="Q117" s="244"/>
      <c r="R117" s="244"/>
      <c r="S117" s="244"/>
      <c r="T117" s="244"/>
      <c r="U117" s="244"/>
    </row>
    <row r="118" spans="2:21">
      <c r="B118" s="145" t="str">
        <f t="shared" si="24"/>
        <v/>
      </c>
      <c r="C118" s="496">
        <f>IF(D94="","-",+C117+1)</f>
        <v>2031</v>
      </c>
      <c r="D118" s="350">
        <f>IF(F117+SUM(E$100:E117)=D$93,F117,D$93-SUM(E$100:E117))</f>
        <v>3196447.100887021</v>
      </c>
      <c r="E118" s="629">
        <f t="shared" si="29"/>
        <v>288412.36</v>
      </c>
      <c r="F118" s="511">
        <f t="shared" si="30"/>
        <v>2908034.7408870212</v>
      </c>
      <c r="G118" s="511">
        <f t="shared" si="31"/>
        <v>3052240.9208870213</v>
      </c>
      <c r="H118" s="646">
        <f t="shared" si="32"/>
        <v>648460.84360510844</v>
      </c>
      <c r="I118" s="630">
        <f t="shared" si="33"/>
        <v>648460.84360510844</v>
      </c>
      <c r="J118" s="505">
        <f t="shared" si="28"/>
        <v>0</v>
      </c>
      <c r="K118" s="505"/>
      <c r="L118" s="513"/>
      <c r="M118" s="505">
        <f t="shared" si="21"/>
        <v>0</v>
      </c>
      <c r="N118" s="513"/>
      <c r="O118" s="505">
        <f t="shared" si="22"/>
        <v>0</v>
      </c>
      <c r="P118" s="505">
        <f t="shared" si="23"/>
        <v>0</v>
      </c>
      <c r="Q118" s="244"/>
      <c r="R118" s="244"/>
      <c r="S118" s="244"/>
      <c r="T118" s="244"/>
      <c r="U118" s="244"/>
    </row>
    <row r="119" spans="2:21">
      <c r="B119" s="145" t="str">
        <f t="shared" si="24"/>
        <v/>
      </c>
      <c r="C119" s="496">
        <f>IF(D94="","-",+C118+1)</f>
        <v>2032</v>
      </c>
      <c r="D119" s="350">
        <f>IF(F118+SUM(E$100:E118)=D$93,F118,D$93-SUM(E$100:E118))</f>
        <v>2908034.7408870212</v>
      </c>
      <c r="E119" s="629">
        <f t="shared" si="29"/>
        <v>288412.36</v>
      </c>
      <c r="F119" s="511">
        <f t="shared" si="30"/>
        <v>2619622.3808870213</v>
      </c>
      <c r="G119" s="511">
        <f t="shared" si="31"/>
        <v>2763828.560887021</v>
      </c>
      <c r="H119" s="646">
        <f t="shared" si="32"/>
        <v>614439.14100609056</v>
      </c>
      <c r="I119" s="630">
        <f t="shared" si="33"/>
        <v>614439.14100609056</v>
      </c>
      <c r="J119" s="505">
        <f t="shared" si="28"/>
        <v>0</v>
      </c>
      <c r="K119" s="505"/>
      <c r="L119" s="513"/>
      <c r="M119" s="505">
        <f t="shared" si="21"/>
        <v>0</v>
      </c>
      <c r="N119" s="513"/>
      <c r="O119" s="505">
        <f t="shared" si="22"/>
        <v>0</v>
      </c>
      <c r="P119" s="505">
        <f t="shared" si="23"/>
        <v>0</v>
      </c>
      <c r="Q119" s="244"/>
      <c r="R119" s="244"/>
      <c r="S119" s="244"/>
      <c r="T119" s="244"/>
      <c r="U119" s="244"/>
    </row>
    <row r="120" spans="2:21">
      <c r="B120" s="145" t="str">
        <f t="shared" si="24"/>
        <v/>
      </c>
      <c r="C120" s="496">
        <f>IF(D94="","-",+C119+1)</f>
        <v>2033</v>
      </c>
      <c r="D120" s="350">
        <f>IF(F119+SUM(E$100:E119)=D$93,F119,D$93-SUM(E$100:E119))</f>
        <v>2619622.3808870213</v>
      </c>
      <c r="E120" s="629">
        <f t="shared" si="29"/>
        <v>288412.36</v>
      </c>
      <c r="F120" s="511">
        <f t="shared" si="30"/>
        <v>2331210.0208870214</v>
      </c>
      <c r="G120" s="511">
        <f t="shared" si="31"/>
        <v>2475416.2008870216</v>
      </c>
      <c r="H120" s="646">
        <f t="shared" si="32"/>
        <v>580417.4384070728</v>
      </c>
      <c r="I120" s="630">
        <f t="shared" si="33"/>
        <v>580417.4384070728</v>
      </c>
      <c r="J120" s="505">
        <f t="shared" si="28"/>
        <v>0</v>
      </c>
      <c r="K120" s="505"/>
      <c r="L120" s="513"/>
      <c r="M120" s="505">
        <f t="shared" si="21"/>
        <v>0</v>
      </c>
      <c r="N120" s="513"/>
      <c r="O120" s="505">
        <f t="shared" si="22"/>
        <v>0</v>
      </c>
      <c r="P120" s="505">
        <f t="shared" si="23"/>
        <v>0</v>
      </c>
      <c r="Q120" s="244"/>
      <c r="R120" s="244"/>
      <c r="S120" s="244"/>
      <c r="T120" s="244"/>
      <c r="U120" s="244"/>
    </row>
    <row r="121" spans="2:21">
      <c r="B121" s="145" t="str">
        <f t="shared" si="24"/>
        <v/>
      </c>
      <c r="C121" s="496">
        <f>IF(D94="","-",+C120+1)</f>
        <v>2034</v>
      </c>
      <c r="D121" s="350">
        <f>IF(F120+SUM(E$100:E120)=D$93,F120,D$93-SUM(E$100:E120))</f>
        <v>2331210.0208870214</v>
      </c>
      <c r="E121" s="629">
        <f t="shared" si="29"/>
        <v>288412.36</v>
      </c>
      <c r="F121" s="511">
        <f t="shared" si="30"/>
        <v>2042797.6608870216</v>
      </c>
      <c r="G121" s="511">
        <f t="shared" si="31"/>
        <v>2187003.8408870213</v>
      </c>
      <c r="H121" s="646">
        <f t="shared" si="32"/>
        <v>546395.73580805492</v>
      </c>
      <c r="I121" s="630">
        <f t="shared" si="33"/>
        <v>546395.73580805492</v>
      </c>
      <c r="J121" s="505">
        <f t="shared" si="28"/>
        <v>0</v>
      </c>
      <c r="K121" s="505"/>
      <c r="L121" s="513"/>
      <c r="M121" s="505">
        <f t="shared" si="21"/>
        <v>0</v>
      </c>
      <c r="N121" s="513"/>
      <c r="O121" s="505">
        <f t="shared" si="22"/>
        <v>0</v>
      </c>
      <c r="P121" s="505">
        <f t="shared" si="23"/>
        <v>0</v>
      </c>
      <c r="Q121" s="244"/>
      <c r="R121" s="244"/>
      <c r="S121" s="244"/>
      <c r="T121" s="244"/>
      <c r="U121" s="244"/>
    </row>
    <row r="122" spans="2:21">
      <c r="B122" s="145" t="str">
        <f t="shared" si="24"/>
        <v/>
      </c>
      <c r="C122" s="496">
        <f>IF(D94="","-",+C121+1)</f>
        <v>2035</v>
      </c>
      <c r="D122" s="350">
        <f>IF(F121+SUM(E$100:E121)=D$93,F121,D$93-SUM(E$100:E121))</f>
        <v>2042797.6608870216</v>
      </c>
      <c r="E122" s="629">
        <f t="shared" si="29"/>
        <v>288412.36</v>
      </c>
      <c r="F122" s="511">
        <f t="shared" si="30"/>
        <v>1754385.3008870217</v>
      </c>
      <c r="G122" s="511">
        <f t="shared" si="31"/>
        <v>1898591.4808870216</v>
      </c>
      <c r="H122" s="646">
        <f t="shared" si="32"/>
        <v>512374.03320903704</v>
      </c>
      <c r="I122" s="630">
        <f t="shared" si="33"/>
        <v>512374.03320903704</v>
      </c>
      <c r="J122" s="505">
        <f t="shared" si="28"/>
        <v>0</v>
      </c>
      <c r="K122" s="505"/>
      <c r="L122" s="513"/>
      <c r="M122" s="505">
        <f t="shared" si="21"/>
        <v>0</v>
      </c>
      <c r="N122" s="513"/>
      <c r="O122" s="505">
        <f t="shared" si="22"/>
        <v>0</v>
      </c>
      <c r="P122" s="505">
        <f t="shared" si="23"/>
        <v>0</v>
      </c>
      <c r="Q122" s="244"/>
      <c r="R122" s="244"/>
      <c r="S122" s="244"/>
      <c r="T122" s="244"/>
      <c r="U122" s="244"/>
    </row>
    <row r="123" spans="2:21">
      <c r="B123" s="145" t="str">
        <f t="shared" si="24"/>
        <v/>
      </c>
      <c r="C123" s="496">
        <f>IF(D94="","-",+C122+1)</f>
        <v>2036</v>
      </c>
      <c r="D123" s="350">
        <f>IF(F122+SUM(E$100:E122)=D$93,F122,D$93-SUM(E$100:E122))</f>
        <v>1754385.3008870217</v>
      </c>
      <c r="E123" s="629">
        <f t="shared" si="29"/>
        <v>288412.36</v>
      </c>
      <c r="F123" s="511">
        <f t="shared" si="30"/>
        <v>1465972.9408870218</v>
      </c>
      <c r="G123" s="511">
        <f t="shared" si="31"/>
        <v>1610179.1208870218</v>
      </c>
      <c r="H123" s="646">
        <f t="shared" si="32"/>
        <v>478352.33061001915</v>
      </c>
      <c r="I123" s="630">
        <f t="shared" si="33"/>
        <v>478352.33061001915</v>
      </c>
      <c r="J123" s="505">
        <f t="shared" si="28"/>
        <v>0</v>
      </c>
      <c r="K123" s="505"/>
      <c r="L123" s="513"/>
      <c r="M123" s="505">
        <f t="shared" si="21"/>
        <v>0</v>
      </c>
      <c r="N123" s="513"/>
      <c r="O123" s="505">
        <f t="shared" si="22"/>
        <v>0</v>
      </c>
      <c r="P123" s="505">
        <f t="shared" si="23"/>
        <v>0</v>
      </c>
      <c r="Q123" s="244"/>
      <c r="R123" s="244"/>
      <c r="S123" s="244"/>
      <c r="T123" s="244"/>
      <c r="U123" s="244"/>
    </row>
    <row r="124" spans="2:21">
      <c r="B124" s="145" t="str">
        <f t="shared" si="24"/>
        <v/>
      </c>
      <c r="C124" s="496">
        <f>IF(D94="","-",+C123+1)</f>
        <v>2037</v>
      </c>
      <c r="D124" s="350">
        <f>IF(F123+SUM(E$100:E123)=D$93,F123,D$93-SUM(E$100:E123))</f>
        <v>1465972.9408870218</v>
      </c>
      <c r="E124" s="629">
        <f t="shared" si="29"/>
        <v>288412.36</v>
      </c>
      <c r="F124" s="511">
        <f t="shared" si="30"/>
        <v>1177560.580887022</v>
      </c>
      <c r="G124" s="511">
        <f t="shared" si="31"/>
        <v>1321766.7608870219</v>
      </c>
      <c r="H124" s="646">
        <f t="shared" si="32"/>
        <v>444330.62801100139</v>
      </c>
      <c r="I124" s="630">
        <f t="shared" si="33"/>
        <v>444330.62801100139</v>
      </c>
      <c r="J124" s="505">
        <f t="shared" si="28"/>
        <v>0</v>
      </c>
      <c r="K124" s="505"/>
      <c r="L124" s="513"/>
      <c r="M124" s="505">
        <f t="shared" si="21"/>
        <v>0</v>
      </c>
      <c r="N124" s="513"/>
      <c r="O124" s="505">
        <f t="shared" si="22"/>
        <v>0</v>
      </c>
      <c r="P124" s="505">
        <f t="shared" si="23"/>
        <v>0</v>
      </c>
      <c r="Q124" s="244"/>
      <c r="R124" s="244"/>
      <c r="S124" s="244"/>
      <c r="T124" s="244"/>
      <c r="U124" s="244"/>
    </row>
    <row r="125" spans="2:21">
      <c r="B125" s="145" t="str">
        <f t="shared" si="24"/>
        <v/>
      </c>
      <c r="C125" s="496">
        <f>IF(D94="","-",+C124+1)</f>
        <v>2038</v>
      </c>
      <c r="D125" s="350">
        <f>IF(F124+SUM(E$100:E124)=D$93,F124,D$93-SUM(E$100:E124))</f>
        <v>1177560.580887022</v>
      </c>
      <c r="E125" s="629">
        <f t="shared" si="29"/>
        <v>288412.36</v>
      </c>
      <c r="F125" s="511">
        <f t="shared" si="30"/>
        <v>889148.22088702198</v>
      </c>
      <c r="G125" s="511">
        <f t="shared" si="31"/>
        <v>1033354.400887022</v>
      </c>
      <c r="H125" s="646">
        <f t="shared" si="32"/>
        <v>410308.92541198351</v>
      </c>
      <c r="I125" s="630">
        <f t="shared" si="33"/>
        <v>410308.92541198351</v>
      </c>
      <c r="J125" s="505">
        <f t="shared" si="28"/>
        <v>0</v>
      </c>
      <c r="K125" s="505"/>
      <c r="L125" s="513"/>
      <c r="M125" s="505">
        <f t="shared" si="21"/>
        <v>0</v>
      </c>
      <c r="N125" s="513"/>
      <c r="O125" s="505">
        <f t="shared" si="22"/>
        <v>0</v>
      </c>
      <c r="P125" s="505">
        <f t="shared" si="23"/>
        <v>0</v>
      </c>
      <c r="Q125" s="244"/>
      <c r="R125" s="244"/>
      <c r="S125" s="244"/>
      <c r="T125" s="244"/>
      <c r="U125" s="244"/>
    </row>
    <row r="126" spans="2:21">
      <c r="B126" s="145" t="str">
        <f t="shared" si="24"/>
        <v/>
      </c>
      <c r="C126" s="496">
        <f>IF(D94="","-",+C125+1)</f>
        <v>2039</v>
      </c>
      <c r="D126" s="350">
        <f>IF(F125+SUM(E$100:E125)=D$93,F125,D$93-SUM(E$100:E125))</f>
        <v>889148.22088702198</v>
      </c>
      <c r="E126" s="629">
        <f t="shared" si="29"/>
        <v>288412.36</v>
      </c>
      <c r="F126" s="511">
        <f t="shared" si="30"/>
        <v>600735.86088702199</v>
      </c>
      <c r="G126" s="511">
        <f t="shared" si="31"/>
        <v>744942.04088702193</v>
      </c>
      <c r="H126" s="646">
        <f t="shared" si="32"/>
        <v>376287.22281296563</v>
      </c>
      <c r="I126" s="630">
        <f t="shared" si="33"/>
        <v>376287.22281296563</v>
      </c>
      <c r="J126" s="505">
        <f t="shared" si="28"/>
        <v>0</v>
      </c>
      <c r="K126" s="505"/>
      <c r="L126" s="513"/>
      <c r="M126" s="505">
        <f t="shared" si="21"/>
        <v>0</v>
      </c>
      <c r="N126" s="513"/>
      <c r="O126" s="505">
        <f t="shared" si="22"/>
        <v>0</v>
      </c>
      <c r="P126" s="505">
        <f t="shared" si="23"/>
        <v>0</v>
      </c>
      <c r="Q126" s="244"/>
      <c r="R126" s="244"/>
      <c r="S126" s="244"/>
      <c r="T126" s="244"/>
      <c r="U126" s="244"/>
    </row>
    <row r="127" spans="2:21">
      <c r="B127" s="145" t="str">
        <f t="shared" si="24"/>
        <v/>
      </c>
      <c r="C127" s="496">
        <f>IF(D94="","-",+C126+1)</f>
        <v>2040</v>
      </c>
      <c r="D127" s="350">
        <f>IF(F126+SUM(E$100:E126)=D$93,F126,D$93-SUM(E$100:E126))</f>
        <v>600735.86088702199</v>
      </c>
      <c r="E127" s="629">
        <f t="shared" si="29"/>
        <v>288412.36</v>
      </c>
      <c r="F127" s="511">
        <f t="shared" si="30"/>
        <v>312323.500887022</v>
      </c>
      <c r="G127" s="511">
        <f t="shared" si="31"/>
        <v>456529.680887022</v>
      </c>
      <c r="H127" s="646">
        <f t="shared" si="32"/>
        <v>342265.52021394781</v>
      </c>
      <c r="I127" s="630">
        <f t="shared" si="33"/>
        <v>342265.52021394781</v>
      </c>
      <c r="J127" s="505">
        <f t="shared" si="28"/>
        <v>0</v>
      </c>
      <c r="K127" s="505"/>
      <c r="L127" s="513"/>
      <c r="M127" s="505">
        <f t="shared" si="21"/>
        <v>0</v>
      </c>
      <c r="N127" s="513"/>
      <c r="O127" s="505">
        <f t="shared" si="22"/>
        <v>0</v>
      </c>
      <c r="P127" s="505">
        <f t="shared" si="23"/>
        <v>0</v>
      </c>
      <c r="Q127" s="244"/>
      <c r="R127" s="244"/>
      <c r="S127" s="244"/>
      <c r="T127" s="244"/>
      <c r="U127" s="244"/>
    </row>
    <row r="128" spans="2:21">
      <c r="B128" s="145" t="str">
        <f t="shared" si="24"/>
        <v/>
      </c>
      <c r="C128" s="496">
        <f>IF(D94="","-",+C127+1)</f>
        <v>2041</v>
      </c>
      <c r="D128" s="350">
        <f>IF(F127+SUM(E$100:E127)=D$93,F127,D$93-SUM(E$100:E127))</f>
        <v>312323.500887022</v>
      </c>
      <c r="E128" s="629">
        <f t="shared" si="29"/>
        <v>288412.36</v>
      </c>
      <c r="F128" s="511">
        <f t="shared" si="30"/>
        <v>23911.140887022018</v>
      </c>
      <c r="G128" s="511">
        <f t="shared" si="31"/>
        <v>168117.32088702201</v>
      </c>
      <c r="H128" s="646">
        <f t="shared" si="32"/>
        <v>308243.81761492993</v>
      </c>
      <c r="I128" s="630">
        <f t="shared" si="33"/>
        <v>308243.81761492993</v>
      </c>
      <c r="J128" s="505">
        <f t="shared" si="28"/>
        <v>0</v>
      </c>
      <c r="K128" s="505"/>
      <c r="L128" s="513"/>
      <c r="M128" s="505">
        <f t="shared" si="21"/>
        <v>0</v>
      </c>
      <c r="N128" s="513"/>
      <c r="O128" s="505">
        <f t="shared" si="22"/>
        <v>0</v>
      </c>
      <c r="P128" s="505">
        <f t="shared" si="23"/>
        <v>0</v>
      </c>
      <c r="Q128" s="244"/>
      <c r="R128" s="244"/>
      <c r="S128" s="244"/>
      <c r="T128" s="244"/>
      <c r="U128" s="244"/>
    </row>
    <row r="129" spans="2:21">
      <c r="B129" s="145" t="str">
        <f t="shared" si="24"/>
        <v/>
      </c>
      <c r="C129" s="496">
        <f>IF(D94="","-",+C128+1)</f>
        <v>2042</v>
      </c>
      <c r="D129" s="350">
        <f>IF(F128+SUM(E$100:E128)=D$93,F128,D$93-SUM(E$100:E128))</f>
        <v>23911.140887022018</v>
      </c>
      <c r="E129" s="629">
        <f t="shared" si="29"/>
        <v>23911.140887022018</v>
      </c>
      <c r="F129" s="511">
        <f t="shared" si="30"/>
        <v>0</v>
      </c>
      <c r="G129" s="511">
        <f t="shared" si="31"/>
        <v>11955.570443511009</v>
      </c>
      <c r="H129" s="646">
        <f t="shared" si="32"/>
        <v>25321.444044732525</v>
      </c>
      <c r="I129" s="630">
        <f t="shared" si="33"/>
        <v>25321.444044732525</v>
      </c>
      <c r="J129" s="505">
        <f t="shared" si="28"/>
        <v>0</v>
      </c>
      <c r="K129" s="505"/>
      <c r="L129" s="513"/>
      <c r="M129" s="505">
        <f t="shared" si="21"/>
        <v>0</v>
      </c>
      <c r="N129" s="513"/>
      <c r="O129" s="505">
        <f t="shared" si="22"/>
        <v>0</v>
      </c>
      <c r="P129" s="505">
        <f t="shared" si="23"/>
        <v>0</v>
      </c>
      <c r="Q129" s="244"/>
      <c r="R129" s="244"/>
      <c r="S129" s="244"/>
      <c r="T129" s="244"/>
      <c r="U129" s="244"/>
    </row>
    <row r="130" spans="2:21">
      <c r="B130" s="145" t="str">
        <f t="shared" si="24"/>
        <v/>
      </c>
      <c r="C130" s="496">
        <f>IF(D94="","-",+C129+1)</f>
        <v>2043</v>
      </c>
      <c r="D130" s="350">
        <f>IF(F129+SUM(E$100:E129)=D$93,F129,D$93-SUM(E$100:E129))</f>
        <v>0</v>
      </c>
      <c r="E130" s="629">
        <f t="shared" si="29"/>
        <v>0</v>
      </c>
      <c r="F130" s="511">
        <f t="shared" si="30"/>
        <v>0</v>
      </c>
      <c r="G130" s="511">
        <f t="shared" si="31"/>
        <v>0</v>
      </c>
      <c r="H130" s="646">
        <f t="shared" si="32"/>
        <v>0</v>
      </c>
      <c r="I130" s="630">
        <f t="shared" si="33"/>
        <v>0</v>
      </c>
      <c r="J130" s="505">
        <f t="shared" si="28"/>
        <v>0</v>
      </c>
      <c r="K130" s="505"/>
      <c r="L130" s="513"/>
      <c r="M130" s="505">
        <f t="shared" si="21"/>
        <v>0</v>
      </c>
      <c r="N130" s="513"/>
      <c r="O130" s="505">
        <f t="shared" si="22"/>
        <v>0</v>
      </c>
      <c r="P130" s="505">
        <f t="shared" si="23"/>
        <v>0</v>
      </c>
      <c r="Q130" s="244"/>
      <c r="R130" s="244"/>
      <c r="S130" s="244"/>
      <c r="T130" s="244"/>
      <c r="U130" s="244"/>
    </row>
    <row r="131" spans="2:21">
      <c r="B131" s="145" t="str">
        <f t="shared" si="24"/>
        <v/>
      </c>
      <c r="C131" s="496">
        <f>IF(D94="","-",+C130+1)</f>
        <v>2044</v>
      </c>
      <c r="D131" s="350">
        <f>IF(F130+SUM(E$100:E130)=D$93,F130,D$93-SUM(E$100:E130))</f>
        <v>0</v>
      </c>
      <c r="E131" s="629">
        <f t="shared" si="29"/>
        <v>0</v>
      </c>
      <c r="F131" s="511">
        <f t="shared" si="30"/>
        <v>0</v>
      </c>
      <c r="G131" s="511">
        <f t="shared" si="31"/>
        <v>0</v>
      </c>
      <c r="H131" s="646">
        <f t="shared" si="32"/>
        <v>0</v>
      </c>
      <c r="I131" s="630">
        <f t="shared" si="33"/>
        <v>0</v>
      </c>
      <c r="J131" s="505">
        <f t="shared" si="28"/>
        <v>0</v>
      </c>
      <c r="K131" s="505"/>
      <c r="L131" s="513"/>
      <c r="M131" s="505">
        <f t="shared" si="21"/>
        <v>0</v>
      </c>
      <c r="N131" s="513"/>
      <c r="O131" s="505">
        <f t="shared" si="22"/>
        <v>0</v>
      </c>
      <c r="P131" s="505">
        <f t="shared" si="23"/>
        <v>0</v>
      </c>
      <c r="Q131" s="244"/>
      <c r="R131" s="244"/>
      <c r="S131" s="244"/>
      <c r="T131" s="244"/>
      <c r="U131" s="244"/>
    </row>
    <row r="132" spans="2:21">
      <c r="B132" s="145" t="str">
        <f t="shared" si="24"/>
        <v/>
      </c>
      <c r="C132" s="496">
        <f>IF(D94="","-",+C131+1)</f>
        <v>2045</v>
      </c>
      <c r="D132" s="350">
        <f>IF(F131+SUM(E$100:E131)=D$93,F131,D$93-SUM(E$100:E131))</f>
        <v>0</v>
      </c>
      <c r="E132" s="629">
        <f t="shared" si="29"/>
        <v>0</v>
      </c>
      <c r="F132" s="511">
        <f t="shared" si="30"/>
        <v>0</v>
      </c>
      <c r="G132" s="511">
        <f t="shared" si="31"/>
        <v>0</v>
      </c>
      <c r="H132" s="646">
        <f t="shared" si="32"/>
        <v>0</v>
      </c>
      <c r="I132" s="630">
        <f t="shared" si="33"/>
        <v>0</v>
      </c>
      <c r="J132" s="505">
        <f t="shared" si="28"/>
        <v>0</v>
      </c>
      <c r="K132" s="505"/>
      <c r="L132" s="513"/>
      <c r="M132" s="505">
        <f t="shared" ref="M132:M155" si="34">IF(L542&lt;&gt;0,+H542-L542,0)</f>
        <v>0</v>
      </c>
      <c r="N132" s="513"/>
      <c r="O132" s="505">
        <f t="shared" ref="O132:O155" si="35">IF(N542&lt;&gt;0,+I542-N542,0)</f>
        <v>0</v>
      </c>
      <c r="P132" s="505">
        <f t="shared" ref="P132:P155" si="36">+O542-M542</f>
        <v>0</v>
      </c>
      <c r="Q132" s="244"/>
      <c r="R132" s="244"/>
      <c r="S132" s="244"/>
      <c r="T132" s="244"/>
      <c r="U132" s="244"/>
    </row>
    <row r="133" spans="2:21">
      <c r="B133" s="145" t="str">
        <f t="shared" si="24"/>
        <v/>
      </c>
      <c r="C133" s="496">
        <f>IF(D94="","-",+C132+1)</f>
        <v>2046</v>
      </c>
      <c r="D133" s="350">
        <f>IF(F132+SUM(E$100:E132)=D$93,F132,D$93-SUM(E$100:E132))</f>
        <v>0</v>
      </c>
      <c r="E133" s="629">
        <f t="shared" si="29"/>
        <v>0</v>
      </c>
      <c r="F133" s="511">
        <f t="shared" si="30"/>
        <v>0</v>
      </c>
      <c r="G133" s="511">
        <f t="shared" si="31"/>
        <v>0</v>
      </c>
      <c r="H133" s="646">
        <f t="shared" si="32"/>
        <v>0</v>
      </c>
      <c r="I133" s="630">
        <f t="shared" si="33"/>
        <v>0</v>
      </c>
      <c r="J133" s="505">
        <f t="shared" si="28"/>
        <v>0</v>
      </c>
      <c r="K133" s="505"/>
      <c r="L133" s="513"/>
      <c r="M133" s="505">
        <f t="shared" si="34"/>
        <v>0</v>
      </c>
      <c r="N133" s="513"/>
      <c r="O133" s="505">
        <f t="shared" si="35"/>
        <v>0</v>
      </c>
      <c r="P133" s="505">
        <f t="shared" si="36"/>
        <v>0</v>
      </c>
      <c r="Q133" s="244"/>
      <c r="R133" s="244"/>
      <c r="S133" s="244"/>
      <c r="T133" s="244"/>
      <c r="U133" s="244"/>
    </row>
    <row r="134" spans="2:21">
      <c r="B134" s="145" t="str">
        <f t="shared" si="24"/>
        <v/>
      </c>
      <c r="C134" s="496">
        <f>IF(D94="","-",+C133+1)</f>
        <v>2047</v>
      </c>
      <c r="D134" s="350">
        <f>IF(F133+SUM(E$100:E133)=D$93,F133,D$93-SUM(E$100:E133))</f>
        <v>0</v>
      </c>
      <c r="E134" s="629">
        <f t="shared" si="29"/>
        <v>0</v>
      </c>
      <c r="F134" s="511">
        <f t="shared" si="30"/>
        <v>0</v>
      </c>
      <c r="G134" s="511">
        <f t="shared" si="31"/>
        <v>0</v>
      </c>
      <c r="H134" s="646">
        <f t="shared" si="32"/>
        <v>0</v>
      </c>
      <c r="I134" s="630">
        <f t="shared" si="33"/>
        <v>0</v>
      </c>
      <c r="J134" s="505">
        <f t="shared" si="28"/>
        <v>0</v>
      </c>
      <c r="K134" s="505"/>
      <c r="L134" s="513"/>
      <c r="M134" s="505">
        <f t="shared" si="34"/>
        <v>0</v>
      </c>
      <c r="N134" s="513"/>
      <c r="O134" s="505">
        <f t="shared" si="35"/>
        <v>0</v>
      </c>
      <c r="P134" s="505">
        <f t="shared" si="36"/>
        <v>0</v>
      </c>
      <c r="Q134" s="244"/>
      <c r="R134" s="244"/>
      <c r="S134" s="244"/>
      <c r="T134" s="244"/>
      <c r="U134" s="244"/>
    </row>
    <row r="135" spans="2:21">
      <c r="B135" s="145" t="str">
        <f t="shared" si="24"/>
        <v/>
      </c>
      <c r="C135" s="496">
        <f>IF(D94="","-",+C134+1)</f>
        <v>2048</v>
      </c>
      <c r="D135" s="350">
        <f>IF(F134+SUM(E$100:E134)=D$93,F134,D$93-SUM(E$100:E134))</f>
        <v>0</v>
      </c>
      <c r="E135" s="629">
        <f t="shared" si="29"/>
        <v>0</v>
      </c>
      <c r="F135" s="511">
        <f t="shared" si="30"/>
        <v>0</v>
      </c>
      <c r="G135" s="511">
        <f t="shared" si="31"/>
        <v>0</v>
      </c>
      <c r="H135" s="646">
        <f t="shared" si="32"/>
        <v>0</v>
      </c>
      <c r="I135" s="630">
        <f t="shared" si="33"/>
        <v>0</v>
      </c>
      <c r="J135" s="505">
        <f t="shared" si="28"/>
        <v>0</v>
      </c>
      <c r="K135" s="505"/>
      <c r="L135" s="513"/>
      <c r="M135" s="505">
        <f t="shared" si="34"/>
        <v>0</v>
      </c>
      <c r="N135" s="513"/>
      <c r="O135" s="505">
        <f t="shared" si="35"/>
        <v>0</v>
      </c>
      <c r="P135" s="505">
        <f t="shared" si="36"/>
        <v>0</v>
      </c>
      <c r="Q135" s="244"/>
      <c r="R135" s="244"/>
      <c r="S135" s="244"/>
      <c r="T135" s="244"/>
      <c r="U135" s="244"/>
    </row>
    <row r="136" spans="2:21">
      <c r="B136" s="145" t="str">
        <f t="shared" si="24"/>
        <v/>
      </c>
      <c r="C136" s="496">
        <f>IF(D94="","-",+C135+1)</f>
        <v>2049</v>
      </c>
      <c r="D136" s="350">
        <f>IF(F135+SUM(E$100:E135)=D$93,F135,D$93-SUM(E$100:E135))</f>
        <v>0</v>
      </c>
      <c r="E136" s="629">
        <f t="shared" si="29"/>
        <v>0</v>
      </c>
      <c r="F136" s="511">
        <f t="shared" si="30"/>
        <v>0</v>
      </c>
      <c r="G136" s="511">
        <f t="shared" si="31"/>
        <v>0</v>
      </c>
      <c r="H136" s="646">
        <f t="shared" si="32"/>
        <v>0</v>
      </c>
      <c r="I136" s="630">
        <f t="shared" si="33"/>
        <v>0</v>
      </c>
      <c r="J136" s="505">
        <f t="shared" si="28"/>
        <v>0</v>
      </c>
      <c r="K136" s="505"/>
      <c r="L136" s="513"/>
      <c r="M136" s="505">
        <f t="shared" si="34"/>
        <v>0</v>
      </c>
      <c r="N136" s="513"/>
      <c r="O136" s="505">
        <f t="shared" si="35"/>
        <v>0</v>
      </c>
      <c r="P136" s="505">
        <f t="shared" si="36"/>
        <v>0</v>
      </c>
      <c r="Q136" s="244"/>
      <c r="R136" s="244"/>
      <c r="S136" s="244"/>
      <c r="T136" s="244"/>
      <c r="U136" s="244"/>
    </row>
    <row r="137" spans="2:21">
      <c r="B137" s="145" t="str">
        <f t="shared" si="24"/>
        <v/>
      </c>
      <c r="C137" s="496">
        <f>IF(D94="","-",+C136+1)</f>
        <v>2050</v>
      </c>
      <c r="D137" s="350">
        <f>IF(F136+SUM(E$100:E136)=D$93,F136,D$93-SUM(E$100:E136))</f>
        <v>0</v>
      </c>
      <c r="E137" s="629">
        <f t="shared" si="29"/>
        <v>0</v>
      </c>
      <c r="F137" s="511">
        <f t="shared" si="30"/>
        <v>0</v>
      </c>
      <c r="G137" s="511">
        <f t="shared" si="31"/>
        <v>0</v>
      </c>
      <c r="H137" s="646">
        <f t="shared" si="32"/>
        <v>0</v>
      </c>
      <c r="I137" s="630">
        <f t="shared" si="33"/>
        <v>0</v>
      </c>
      <c r="J137" s="505">
        <f t="shared" si="28"/>
        <v>0</v>
      </c>
      <c r="K137" s="505"/>
      <c r="L137" s="513"/>
      <c r="M137" s="505">
        <f t="shared" si="34"/>
        <v>0</v>
      </c>
      <c r="N137" s="513"/>
      <c r="O137" s="505">
        <f t="shared" si="35"/>
        <v>0</v>
      </c>
      <c r="P137" s="505">
        <f t="shared" si="36"/>
        <v>0</v>
      </c>
      <c r="Q137" s="244"/>
      <c r="R137" s="244"/>
      <c r="S137" s="244"/>
      <c r="T137" s="244"/>
      <c r="U137" s="244"/>
    </row>
    <row r="138" spans="2:21">
      <c r="B138" s="145" t="str">
        <f t="shared" si="24"/>
        <v/>
      </c>
      <c r="C138" s="496">
        <f>IF(D94="","-",+C137+1)</f>
        <v>2051</v>
      </c>
      <c r="D138" s="350">
        <f>IF(F137+SUM(E$100:E137)=D$93,F137,D$93-SUM(E$100:E137))</f>
        <v>0</v>
      </c>
      <c r="E138" s="629">
        <f t="shared" si="29"/>
        <v>0</v>
      </c>
      <c r="F138" s="511">
        <f t="shared" si="30"/>
        <v>0</v>
      </c>
      <c r="G138" s="511">
        <f t="shared" si="31"/>
        <v>0</v>
      </c>
      <c r="H138" s="646">
        <f t="shared" si="32"/>
        <v>0</v>
      </c>
      <c r="I138" s="630">
        <f t="shared" si="33"/>
        <v>0</v>
      </c>
      <c r="J138" s="505">
        <f t="shared" si="28"/>
        <v>0</v>
      </c>
      <c r="K138" s="505"/>
      <c r="L138" s="513"/>
      <c r="M138" s="505">
        <f t="shared" si="34"/>
        <v>0</v>
      </c>
      <c r="N138" s="513"/>
      <c r="O138" s="505">
        <f t="shared" si="35"/>
        <v>0</v>
      </c>
      <c r="P138" s="505">
        <f t="shared" si="36"/>
        <v>0</v>
      </c>
      <c r="Q138" s="244"/>
      <c r="R138" s="244"/>
      <c r="S138" s="244"/>
      <c r="T138" s="244"/>
      <c r="U138" s="244"/>
    </row>
    <row r="139" spans="2:21">
      <c r="B139" s="145" t="str">
        <f t="shared" si="24"/>
        <v/>
      </c>
      <c r="C139" s="496">
        <f>IF(D94="","-",+C138+1)</f>
        <v>2052</v>
      </c>
      <c r="D139" s="350">
        <f>IF(F138+SUM(E$100:E138)=D$93,F138,D$93-SUM(E$100:E138))</f>
        <v>0</v>
      </c>
      <c r="E139" s="629">
        <f t="shared" si="29"/>
        <v>0</v>
      </c>
      <c r="F139" s="511">
        <f t="shared" si="30"/>
        <v>0</v>
      </c>
      <c r="G139" s="511">
        <f t="shared" si="31"/>
        <v>0</v>
      </c>
      <c r="H139" s="646">
        <f t="shared" si="32"/>
        <v>0</v>
      </c>
      <c r="I139" s="630">
        <f t="shared" si="33"/>
        <v>0</v>
      </c>
      <c r="J139" s="505">
        <f t="shared" si="28"/>
        <v>0</v>
      </c>
      <c r="K139" s="505"/>
      <c r="L139" s="513"/>
      <c r="M139" s="505">
        <f t="shared" si="34"/>
        <v>0</v>
      </c>
      <c r="N139" s="513"/>
      <c r="O139" s="505">
        <f t="shared" si="35"/>
        <v>0</v>
      </c>
      <c r="P139" s="505">
        <f t="shared" si="36"/>
        <v>0</v>
      </c>
      <c r="Q139" s="244"/>
      <c r="R139" s="244"/>
      <c r="S139" s="244"/>
      <c r="T139" s="244"/>
      <c r="U139" s="244"/>
    </row>
    <row r="140" spans="2:21">
      <c r="B140" s="145" t="str">
        <f t="shared" si="24"/>
        <v/>
      </c>
      <c r="C140" s="496">
        <f>IF(D94="","-",+C139+1)</f>
        <v>2053</v>
      </c>
      <c r="D140" s="350">
        <f>IF(F139+SUM(E$100:E139)=D$93,F139,D$93-SUM(E$100:E139))</f>
        <v>0</v>
      </c>
      <c r="E140" s="629">
        <f t="shared" si="29"/>
        <v>0</v>
      </c>
      <c r="F140" s="511">
        <f t="shared" si="30"/>
        <v>0</v>
      </c>
      <c r="G140" s="511">
        <f t="shared" si="31"/>
        <v>0</v>
      </c>
      <c r="H140" s="646">
        <f t="shared" si="32"/>
        <v>0</v>
      </c>
      <c r="I140" s="630">
        <f t="shared" si="33"/>
        <v>0</v>
      </c>
      <c r="J140" s="505">
        <f t="shared" si="28"/>
        <v>0</v>
      </c>
      <c r="K140" s="505"/>
      <c r="L140" s="513"/>
      <c r="M140" s="505">
        <f t="shared" si="34"/>
        <v>0</v>
      </c>
      <c r="N140" s="513"/>
      <c r="O140" s="505">
        <f t="shared" si="35"/>
        <v>0</v>
      </c>
      <c r="P140" s="505">
        <f t="shared" si="36"/>
        <v>0</v>
      </c>
      <c r="Q140" s="244"/>
      <c r="R140" s="244"/>
      <c r="S140" s="244"/>
      <c r="T140" s="244"/>
      <c r="U140" s="244"/>
    </row>
    <row r="141" spans="2:21">
      <c r="B141" s="145" t="str">
        <f t="shared" si="24"/>
        <v/>
      </c>
      <c r="C141" s="496">
        <f>IF(D94="","-",+C140+1)</f>
        <v>2054</v>
      </c>
      <c r="D141" s="350">
        <f>IF(F140+SUM(E$100:E140)=D$93,F140,D$93-SUM(E$100:E140))</f>
        <v>0</v>
      </c>
      <c r="E141" s="629">
        <f t="shared" si="29"/>
        <v>0</v>
      </c>
      <c r="F141" s="511">
        <f t="shared" si="30"/>
        <v>0</v>
      </c>
      <c r="G141" s="511">
        <f t="shared" si="31"/>
        <v>0</v>
      </c>
      <c r="H141" s="646">
        <f t="shared" si="32"/>
        <v>0</v>
      </c>
      <c r="I141" s="630">
        <f t="shared" si="33"/>
        <v>0</v>
      </c>
      <c r="J141" s="505">
        <f t="shared" si="28"/>
        <v>0</v>
      </c>
      <c r="K141" s="505"/>
      <c r="L141" s="513"/>
      <c r="M141" s="505">
        <f t="shared" si="34"/>
        <v>0</v>
      </c>
      <c r="N141" s="513"/>
      <c r="O141" s="505">
        <f t="shared" si="35"/>
        <v>0</v>
      </c>
      <c r="P141" s="505">
        <f t="shared" si="36"/>
        <v>0</v>
      </c>
      <c r="Q141" s="244"/>
      <c r="R141" s="244"/>
      <c r="S141" s="244"/>
      <c r="T141" s="244"/>
      <c r="U141" s="244"/>
    </row>
    <row r="142" spans="2:21">
      <c r="B142" s="145" t="str">
        <f t="shared" si="24"/>
        <v/>
      </c>
      <c r="C142" s="496">
        <f>IF(D94="","-",+C141+1)</f>
        <v>2055</v>
      </c>
      <c r="D142" s="350">
        <f>IF(F141+SUM(E$100:E141)=D$93,F141,D$93-SUM(E$100:E141))</f>
        <v>0</v>
      </c>
      <c r="E142" s="629">
        <f t="shared" si="29"/>
        <v>0</v>
      </c>
      <c r="F142" s="511">
        <f t="shared" si="30"/>
        <v>0</v>
      </c>
      <c r="G142" s="511">
        <f t="shared" si="31"/>
        <v>0</v>
      </c>
      <c r="H142" s="646">
        <f t="shared" si="32"/>
        <v>0</v>
      </c>
      <c r="I142" s="630">
        <f t="shared" si="33"/>
        <v>0</v>
      </c>
      <c r="J142" s="505">
        <f t="shared" si="28"/>
        <v>0</v>
      </c>
      <c r="K142" s="505"/>
      <c r="L142" s="513"/>
      <c r="M142" s="505">
        <f t="shared" si="34"/>
        <v>0</v>
      </c>
      <c r="N142" s="513"/>
      <c r="O142" s="505">
        <f t="shared" si="35"/>
        <v>0</v>
      </c>
      <c r="P142" s="505">
        <f t="shared" si="36"/>
        <v>0</v>
      </c>
      <c r="Q142" s="244"/>
      <c r="R142" s="244"/>
      <c r="S142" s="244"/>
      <c r="T142" s="244"/>
      <c r="U142" s="244"/>
    </row>
    <row r="143" spans="2:21">
      <c r="B143" s="145" t="str">
        <f t="shared" si="24"/>
        <v/>
      </c>
      <c r="C143" s="496">
        <f>IF(D94="","-",+C142+1)</f>
        <v>2056</v>
      </c>
      <c r="D143" s="350">
        <f>IF(F142+SUM(E$100:E142)=D$93,F142,D$93-SUM(E$100:E142))</f>
        <v>0</v>
      </c>
      <c r="E143" s="629">
        <f t="shared" si="29"/>
        <v>0</v>
      </c>
      <c r="F143" s="511">
        <f t="shared" si="30"/>
        <v>0</v>
      </c>
      <c r="G143" s="511">
        <f t="shared" si="31"/>
        <v>0</v>
      </c>
      <c r="H143" s="646">
        <f t="shared" si="32"/>
        <v>0</v>
      </c>
      <c r="I143" s="630">
        <f t="shared" si="33"/>
        <v>0</v>
      </c>
      <c r="J143" s="505">
        <f t="shared" si="28"/>
        <v>0</v>
      </c>
      <c r="K143" s="505"/>
      <c r="L143" s="513"/>
      <c r="M143" s="505">
        <f t="shared" si="34"/>
        <v>0</v>
      </c>
      <c r="N143" s="513"/>
      <c r="O143" s="505">
        <f t="shared" si="35"/>
        <v>0</v>
      </c>
      <c r="P143" s="505">
        <f t="shared" si="36"/>
        <v>0</v>
      </c>
      <c r="Q143" s="244"/>
      <c r="R143" s="244"/>
      <c r="S143" s="244"/>
      <c r="T143" s="244"/>
      <c r="U143" s="244"/>
    </row>
    <row r="144" spans="2:21">
      <c r="B144" s="145" t="str">
        <f t="shared" si="24"/>
        <v/>
      </c>
      <c r="C144" s="496">
        <f>IF(D94="","-",+C143+1)</f>
        <v>2057</v>
      </c>
      <c r="D144" s="350">
        <f>IF(F143+SUM(E$100:E143)=D$93,F143,D$93-SUM(E$100:E143))</f>
        <v>0</v>
      </c>
      <c r="E144" s="629">
        <f t="shared" si="29"/>
        <v>0</v>
      </c>
      <c r="F144" s="511">
        <f t="shared" si="30"/>
        <v>0</v>
      </c>
      <c r="G144" s="511">
        <f t="shared" si="31"/>
        <v>0</v>
      </c>
      <c r="H144" s="646">
        <f t="shared" si="32"/>
        <v>0</v>
      </c>
      <c r="I144" s="630">
        <f t="shared" si="33"/>
        <v>0</v>
      </c>
      <c r="J144" s="505">
        <f t="shared" si="28"/>
        <v>0</v>
      </c>
      <c r="K144" s="505"/>
      <c r="L144" s="513"/>
      <c r="M144" s="505">
        <f t="shared" si="34"/>
        <v>0</v>
      </c>
      <c r="N144" s="513"/>
      <c r="O144" s="505">
        <f t="shared" si="35"/>
        <v>0</v>
      </c>
      <c r="P144" s="505">
        <f t="shared" si="36"/>
        <v>0</v>
      </c>
      <c r="Q144" s="244"/>
      <c r="R144" s="244"/>
      <c r="S144" s="244"/>
      <c r="T144" s="244"/>
      <c r="U144" s="244"/>
    </row>
    <row r="145" spans="2:21">
      <c r="B145" s="145" t="str">
        <f t="shared" si="24"/>
        <v/>
      </c>
      <c r="C145" s="496">
        <f>IF(D94="","-",+C144+1)</f>
        <v>2058</v>
      </c>
      <c r="D145" s="350">
        <f>IF(F144+SUM(E$100:E144)=D$93,F144,D$93-SUM(E$100:E144))</f>
        <v>0</v>
      </c>
      <c r="E145" s="629">
        <f t="shared" si="29"/>
        <v>0</v>
      </c>
      <c r="F145" s="511">
        <f t="shared" si="30"/>
        <v>0</v>
      </c>
      <c r="G145" s="511">
        <f t="shared" si="31"/>
        <v>0</v>
      </c>
      <c r="H145" s="646">
        <f t="shared" si="32"/>
        <v>0</v>
      </c>
      <c r="I145" s="630">
        <f t="shared" si="33"/>
        <v>0</v>
      </c>
      <c r="J145" s="505">
        <f t="shared" si="28"/>
        <v>0</v>
      </c>
      <c r="K145" s="505"/>
      <c r="L145" s="513"/>
      <c r="M145" s="505">
        <f t="shared" si="34"/>
        <v>0</v>
      </c>
      <c r="N145" s="513"/>
      <c r="O145" s="505">
        <f t="shared" si="35"/>
        <v>0</v>
      </c>
      <c r="P145" s="505">
        <f t="shared" si="36"/>
        <v>0</v>
      </c>
      <c r="Q145" s="244"/>
      <c r="R145" s="244"/>
      <c r="S145" s="244"/>
      <c r="T145" s="244"/>
      <c r="U145" s="244"/>
    </row>
    <row r="146" spans="2:21">
      <c r="B146" s="145" t="str">
        <f t="shared" si="24"/>
        <v/>
      </c>
      <c r="C146" s="496">
        <f>IF(D94="","-",+C145+1)</f>
        <v>2059</v>
      </c>
      <c r="D146" s="350">
        <f>IF(F145+SUM(E$100:E145)=D$93,F145,D$93-SUM(E$100:E145))</f>
        <v>0</v>
      </c>
      <c r="E146" s="629">
        <f t="shared" si="29"/>
        <v>0</v>
      </c>
      <c r="F146" s="511">
        <f t="shared" si="30"/>
        <v>0</v>
      </c>
      <c r="G146" s="511">
        <f t="shared" si="31"/>
        <v>0</v>
      </c>
      <c r="H146" s="646">
        <f t="shared" si="32"/>
        <v>0</v>
      </c>
      <c r="I146" s="630">
        <f t="shared" si="33"/>
        <v>0</v>
      </c>
      <c r="J146" s="505">
        <f t="shared" si="28"/>
        <v>0</v>
      </c>
      <c r="K146" s="505"/>
      <c r="L146" s="513"/>
      <c r="M146" s="505">
        <f t="shared" si="34"/>
        <v>0</v>
      </c>
      <c r="N146" s="513"/>
      <c r="O146" s="505">
        <f t="shared" si="35"/>
        <v>0</v>
      </c>
      <c r="P146" s="505">
        <f t="shared" si="36"/>
        <v>0</v>
      </c>
      <c r="Q146" s="244"/>
      <c r="R146" s="244"/>
      <c r="S146" s="244"/>
      <c r="T146" s="244"/>
      <c r="U146" s="244"/>
    </row>
    <row r="147" spans="2:21">
      <c r="B147" s="145" t="str">
        <f t="shared" si="24"/>
        <v/>
      </c>
      <c r="C147" s="496">
        <f>IF(D94="","-",+C146+1)</f>
        <v>2060</v>
      </c>
      <c r="D147" s="350">
        <f>IF(F146+SUM(E$100:E146)=D$93,F146,D$93-SUM(E$100:E146))</f>
        <v>0</v>
      </c>
      <c r="E147" s="629">
        <f t="shared" si="29"/>
        <v>0</v>
      </c>
      <c r="F147" s="511">
        <f t="shared" si="30"/>
        <v>0</v>
      </c>
      <c r="G147" s="511">
        <f t="shared" si="31"/>
        <v>0</v>
      </c>
      <c r="H147" s="646">
        <f t="shared" si="32"/>
        <v>0</v>
      </c>
      <c r="I147" s="630">
        <f t="shared" si="33"/>
        <v>0</v>
      </c>
      <c r="J147" s="505">
        <f t="shared" si="28"/>
        <v>0</v>
      </c>
      <c r="K147" s="505"/>
      <c r="L147" s="513"/>
      <c r="M147" s="505">
        <f t="shared" si="34"/>
        <v>0</v>
      </c>
      <c r="N147" s="513"/>
      <c r="O147" s="505">
        <f t="shared" si="35"/>
        <v>0</v>
      </c>
      <c r="P147" s="505">
        <f t="shared" si="36"/>
        <v>0</v>
      </c>
      <c r="Q147" s="244"/>
      <c r="R147" s="244"/>
      <c r="S147" s="244"/>
      <c r="T147" s="244"/>
      <c r="U147" s="244"/>
    </row>
    <row r="148" spans="2:21">
      <c r="B148" s="145" t="str">
        <f t="shared" si="24"/>
        <v/>
      </c>
      <c r="C148" s="496">
        <f>IF(D94="","-",+C147+1)</f>
        <v>2061</v>
      </c>
      <c r="D148" s="350">
        <f>IF(F147+SUM(E$100:E147)=D$93,F147,D$93-SUM(E$100:E147))</f>
        <v>0</v>
      </c>
      <c r="E148" s="629">
        <f t="shared" si="29"/>
        <v>0</v>
      </c>
      <c r="F148" s="511">
        <f t="shared" si="30"/>
        <v>0</v>
      </c>
      <c r="G148" s="511">
        <f t="shared" si="31"/>
        <v>0</v>
      </c>
      <c r="H148" s="646">
        <f t="shared" si="32"/>
        <v>0</v>
      </c>
      <c r="I148" s="630">
        <f t="shared" si="33"/>
        <v>0</v>
      </c>
      <c r="J148" s="505">
        <f t="shared" si="28"/>
        <v>0</v>
      </c>
      <c r="K148" s="505"/>
      <c r="L148" s="513"/>
      <c r="M148" s="505">
        <f t="shared" si="34"/>
        <v>0</v>
      </c>
      <c r="N148" s="513"/>
      <c r="O148" s="505">
        <f t="shared" si="35"/>
        <v>0</v>
      </c>
      <c r="P148" s="505">
        <f t="shared" si="36"/>
        <v>0</v>
      </c>
      <c r="Q148" s="244"/>
      <c r="R148" s="244"/>
      <c r="S148" s="244"/>
      <c r="T148" s="244"/>
      <c r="U148" s="244"/>
    </row>
    <row r="149" spans="2:21">
      <c r="B149" s="145" t="str">
        <f t="shared" si="24"/>
        <v/>
      </c>
      <c r="C149" s="496">
        <f>IF(D94="","-",+C148+1)</f>
        <v>2062</v>
      </c>
      <c r="D149" s="350">
        <f>IF(F148+SUM(E$100:E148)=D$93,F148,D$93-SUM(E$100:E148))</f>
        <v>0</v>
      </c>
      <c r="E149" s="629">
        <f t="shared" si="29"/>
        <v>0</v>
      </c>
      <c r="F149" s="511">
        <f t="shared" si="30"/>
        <v>0</v>
      </c>
      <c r="G149" s="511">
        <f t="shared" si="31"/>
        <v>0</v>
      </c>
      <c r="H149" s="646">
        <f t="shared" si="32"/>
        <v>0</v>
      </c>
      <c r="I149" s="630">
        <f t="shared" si="33"/>
        <v>0</v>
      </c>
      <c r="J149" s="505">
        <f t="shared" si="28"/>
        <v>0</v>
      </c>
      <c r="K149" s="505"/>
      <c r="L149" s="513"/>
      <c r="M149" s="505">
        <f t="shared" si="34"/>
        <v>0</v>
      </c>
      <c r="N149" s="513"/>
      <c r="O149" s="505">
        <f t="shared" si="35"/>
        <v>0</v>
      </c>
      <c r="P149" s="505">
        <f t="shared" si="36"/>
        <v>0</v>
      </c>
      <c r="Q149" s="244"/>
      <c r="R149" s="244"/>
      <c r="S149" s="244"/>
      <c r="T149" s="244"/>
      <c r="U149" s="244"/>
    </row>
    <row r="150" spans="2:21">
      <c r="B150" s="145" t="str">
        <f t="shared" si="24"/>
        <v/>
      </c>
      <c r="C150" s="496">
        <f>IF(D94="","-",+C149+1)</f>
        <v>2063</v>
      </c>
      <c r="D150" s="350">
        <f>IF(F149+SUM(E$100:E149)=D$93,F149,D$93-SUM(E$100:E149))</f>
        <v>0</v>
      </c>
      <c r="E150" s="629">
        <f t="shared" si="29"/>
        <v>0</v>
      </c>
      <c r="F150" s="511">
        <f t="shared" si="30"/>
        <v>0</v>
      </c>
      <c r="G150" s="511">
        <f t="shared" si="31"/>
        <v>0</v>
      </c>
      <c r="H150" s="646">
        <f t="shared" si="32"/>
        <v>0</v>
      </c>
      <c r="I150" s="630">
        <f t="shared" si="33"/>
        <v>0</v>
      </c>
      <c r="J150" s="505">
        <f t="shared" si="28"/>
        <v>0</v>
      </c>
      <c r="K150" s="505"/>
      <c r="L150" s="513"/>
      <c r="M150" s="505">
        <f t="shared" si="34"/>
        <v>0</v>
      </c>
      <c r="N150" s="513"/>
      <c r="O150" s="505">
        <f t="shared" si="35"/>
        <v>0</v>
      </c>
      <c r="P150" s="505">
        <f t="shared" si="36"/>
        <v>0</v>
      </c>
      <c r="Q150" s="244"/>
      <c r="R150" s="244"/>
      <c r="S150" s="244"/>
      <c r="T150" s="244"/>
      <c r="U150" s="244"/>
    </row>
    <row r="151" spans="2:21">
      <c r="B151" s="145" t="str">
        <f t="shared" si="24"/>
        <v/>
      </c>
      <c r="C151" s="496">
        <f>IF(D94="","-",+C150+1)</f>
        <v>2064</v>
      </c>
      <c r="D151" s="350">
        <f>IF(F150+SUM(E$100:E150)=D$93,F150,D$93-SUM(E$100:E150))</f>
        <v>0</v>
      </c>
      <c r="E151" s="629">
        <f t="shared" si="29"/>
        <v>0</v>
      </c>
      <c r="F151" s="511">
        <f t="shared" si="30"/>
        <v>0</v>
      </c>
      <c r="G151" s="511">
        <f t="shared" si="31"/>
        <v>0</v>
      </c>
      <c r="H151" s="646">
        <f t="shared" si="32"/>
        <v>0</v>
      </c>
      <c r="I151" s="630">
        <f t="shared" si="33"/>
        <v>0</v>
      </c>
      <c r="J151" s="505">
        <f t="shared" si="28"/>
        <v>0</v>
      </c>
      <c r="K151" s="505"/>
      <c r="L151" s="513"/>
      <c r="M151" s="505">
        <f t="shared" si="34"/>
        <v>0</v>
      </c>
      <c r="N151" s="513"/>
      <c r="O151" s="505">
        <f t="shared" si="35"/>
        <v>0</v>
      </c>
      <c r="P151" s="505">
        <f t="shared" si="36"/>
        <v>0</v>
      </c>
      <c r="Q151" s="244"/>
      <c r="R151" s="244"/>
      <c r="S151" s="244"/>
      <c r="T151" s="244"/>
      <c r="U151" s="244"/>
    </row>
    <row r="152" spans="2:21">
      <c r="B152" s="145" t="str">
        <f t="shared" si="24"/>
        <v/>
      </c>
      <c r="C152" s="496">
        <f>IF(D94="","-",+C151+1)</f>
        <v>2065</v>
      </c>
      <c r="D152" s="350">
        <f>IF(F151+SUM(E$100:E151)=D$93,F151,D$93-SUM(E$100:E151))</f>
        <v>0</v>
      </c>
      <c r="E152" s="629">
        <f t="shared" si="29"/>
        <v>0</v>
      </c>
      <c r="F152" s="511">
        <f t="shared" si="30"/>
        <v>0</v>
      </c>
      <c r="G152" s="511">
        <f t="shared" si="31"/>
        <v>0</v>
      </c>
      <c r="H152" s="646">
        <f t="shared" si="32"/>
        <v>0</v>
      </c>
      <c r="I152" s="630">
        <f t="shared" si="33"/>
        <v>0</v>
      </c>
      <c r="J152" s="505">
        <f t="shared" si="28"/>
        <v>0</v>
      </c>
      <c r="K152" s="505"/>
      <c r="L152" s="513"/>
      <c r="M152" s="505">
        <f t="shared" si="34"/>
        <v>0</v>
      </c>
      <c r="N152" s="513"/>
      <c r="O152" s="505">
        <f t="shared" si="35"/>
        <v>0</v>
      </c>
      <c r="P152" s="505">
        <f t="shared" si="36"/>
        <v>0</v>
      </c>
      <c r="Q152" s="244"/>
      <c r="R152" s="244"/>
      <c r="S152" s="244"/>
      <c r="T152" s="244"/>
      <c r="U152" s="244"/>
    </row>
    <row r="153" spans="2:21">
      <c r="B153" s="145" t="str">
        <f t="shared" si="24"/>
        <v/>
      </c>
      <c r="C153" s="496">
        <f>IF(D94="","-",+C152+1)</f>
        <v>2066</v>
      </c>
      <c r="D153" s="350">
        <f>IF(F152+SUM(E$100:E152)=D$93,F152,D$93-SUM(E$100:E152))</f>
        <v>0</v>
      </c>
      <c r="E153" s="629">
        <f t="shared" si="29"/>
        <v>0</v>
      </c>
      <c r="F153" s="511">
        <f t="shared" si="30"/>
        <v>0</v>
      </c>
      <c r="G153" s="511">
        <f t="shared" si="31"/>
        <v>0</v>
      </c>
      <c r="H153" s="646">
        <f t="shared" si="32"/>
        <v>0</v>
      </c>
      <c r="I153" s="630">
        <f t="shared" si="33"/>
        <v>0</v>
      </c>
      <c r="J153" s="505">
        <f t="shared" si="28"/>
        <v>0</v>
      </c>
      <c r="K153" s="505"/>
      <c r="L153" s="513"/>
      <c r="M153" s="505">
        <f t="shared" si="34"/>
        <v>0</v>
      </c>
      <c r="N153" s="513"/>
      <c r="O153" s="505">
        <f t="shared" si="35"/>
        <v>0</v>
      </c>
      <c r="P153" s="505">
        <f t="shared" si="36"/>
        <v>0</v>
      </c>
      <c r="Q153" s="244"/>
      <c r="R153" s="244"/>
      <c r="S153" s="244"/>
      <c r="T153" s="244"/>
      <c r="U153" s="244"/>
    </row>
    <row r="154" spans="2:21">
      <c r="B154" s="145" t="str">
        <f t="shared" si="24"/>
        <v/>
      </c>
      <c r="C154" s="496">
        <f>IF(D94="","-",+C153+1)</f>
        <v>2067</v>
      </c>
      <c r="D154" s="350">
        <f>IF(F153+SUM(E$100:E153)=D$93,F153,D$93-SUM(E$100:E153))</f>
        <v>0</v>
      </c>
      <c r="E154" s="629">
        <f t="shared" si="29"/>
        <v>0</v>
      </c>
      <c r="F154" s="511">
        <f t="shared" si="30"/>
        <v>0</v>
      </c>
      <c r="G154" s="511">
        <f t="shared" si="31"/>
        <v>0</v>
      </c>
      <c r="H154" s="646">
        <f t="shared" si="32"/>
        <v>0</v>
      </c>
      <c r="I154" s="630">
        <f t="shared" si="33"/>
        <v>0</v>
      </c>
      <c r="J154" s="505">
        <f t="shared" si="28"/>
        <v>0</v>
      </c>
      <c r="K154" s="505"/>
      <c r="L154" s="513"/>
      <c r="M154" s="505">
        <f t="shared" si="34"/>
        <v>0</v>
      </c>
      <c r="N154" s="513"/>
      <c r="O154" s="505">
        <f t="shared" si="35"/>
        <v>0</v>
      </c>
      <c r="P154" s="505">
        <f t="shared" si="36"/>
        <v>0</v>
      </c>
      <c r="Q154" s="244"/>
      <c r="R154" s="244"/>
      <c r="S154" s="244"/>
      <c r="T154" s="244"/>
      <c r="U154" s="244"/>
    </row>
    <row r="155" spans="2:21" ht="13.5" thickBot="1">
      <c r="B155" s="145" t="str">
        <f t="shared" si="24"/>
        <v/>
      </c>
      <c r="C155" s="525">
        <f>IF(D94="","-",+C154+1)</f>
        <v>2068</v>
      </c>
      <c r="D155" s="619">
        <f>IF(F154+SUM(E$100:E154)=D$93,F154,D$93-SUM(E$100:E154))</f>
        <v>0</v>
      </c>
      <c r="E155" s="631">
        <f t="shared" si="29"/>
        <v>0</v>
      </c>
      <c r="F155" s="528">
        <f t="shared" si="30"/>
        <v>0</v>
      </c>
      <c r="G155" s="528">
        <f t="shared" si="31"/>
        <v>0</v>
      </c>
      <c r="H155" s="646">
        <f t="shared" si="32"/>
        <v>0</v>
      </c>
      <c r="I155" s="632">
        <f t="shared" si="33"/>
        <v>0</v>
      </c>
      <c r="J155" s="532">
        <f t="shared" si="28"/>
        <v>0</v>
      </c>
      <c r="K155" s="505"/>
      <c r="L155" s="531"/>
      <c r="M155" s="532">
        <f t="shared" si="34"/>
        <v>0</v>
      </c>
      <c r="N155" s="531"/>
      <c r="O155" s="532">
        <f t="shared" si="35"/>
        <v>0</v>
      </c>
      <c r="P155" s="532">
        <f t="shared" si="36"/>
        <v>0</v>
      </c>
      <c r="Q155" s="244"/>
      <c r="R155" s="244"/>
      <c r="S155" s="244"/>
      <c r="T155" s="244"/>
      <c r="U155" s="244"/>
    </row>
    <row r="156" spans="2:21">
      <c r="C156" s="350" t="s">
        <v>75</v>
      </c>
      <c r="D156" s="295"/>
      <c r="E156" s="295">
        <f>SUM(E100:E155)</f>
        <v>7210309.0000000028</v>
      </c>
      <c r="F156" s="295"/>
      <c r="G156" s="295"/>
      <c r="H156" s="295">
        <f>SUM(H100:H155)</f>
        <v>19152076.618007261</v>
      </c>
      <c r="I156" s="295">
        <f>SUM(I100:I155)</f>
        <v>19152076.618007261</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2" priority="1" stopIfTrue="1" operator="equal">
      <formula>$I$10</formula>
    </cfRule>
  </conditionalFormatting>
  <conditionalFormatting sqref="C100:C155">
    <cfRule type="cellIs" dxfId="31"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3">
    <tabColor theme="9" tint="0.39997558519241921"/>
  </sheetPr>
  <dimension ref="A1:U163"/>
  <sheetViews>
    <sheetView zoomScaleNormal="100" zoomScaleSheetLayoutView="78"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11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2459032.5411911216</v>
      </c>
      <c r="P5" s="244"/>
      <c r="R5" s="244"/>
      <c r="S5" s="244"/>
      <c r="T5" s="244"/>
      <c r="U5" s="244"/>
    </row>
    <row r="6" spans="1:21" ht="15.75">
      <c r="C6" s="236"/>
      <c r="D6" s="293"/>
      <c r="E6" s="244"/>
      <c r="F6" s="244"/>
      <c r="G6" s="244"/>
      <c r="H6" s="450"/>
      <c r="I6" s="450"/>
      <c r="J6" s="451"/>
      <c r="K6" s="452" t="s">
        <v>243</v>
      </c>
      <c r="L6" s="453"/>
      <c r="M6" s="279"/>
      <c r="N6" s="454">
        <f>VLOOKUP(I10,C17:I73,6)</f>
        <v>2459032.5411911216</v>
      </c>
      <c r="O6" s="244"/>
      <c r="P6" s="244"/>
      <c r="R6" s="244"/>
      <c r="S6" s="244"/>
      <c r="T6" s="244"/>
      <c r="U6" s="244"/>
    </row>
    <row r="7" spans="1:21" ht="13.5" thickBot="1">
      <c r="C7" s="455" t="s">
        <v>46</v>
      </c>
      <c r="D7" s="456" t="s">
        <v>222</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221</v>
      </c>
      <c r="E9" s="466"/>
      <c r="F9" s="466"/>
      <c r="G9" s="466"/>
      <c r="H9" s="466"/>
      <c r="I9" s="467"/>
      <c r="J9" s="468"/>
      <c r="O9" s="469"/>
      <c r="P9" s="279"/>
      <c r="R9" s="244"/>
      <c r="S9" s="244"/>
      <c r="T9" s="244"/>
      <c r="U9" s="244"/>
    </row>
    <row r="10" spans="1:21">
      <c r="C10" s="470" t="s">
        <v>49</v>
      </c>
      <c r="D10" s="471">
        <v>20242585</v>
      </c>
      <c r="E10" s="300" t="s">
        <v>50</v>
      </c>
      <c r="F10" s="469"/>
      <c r="G10" s="409"/>
      <c r="H10" s="409"/>
      <c r="I10" s="472">
        <f>+'OKT.WS.F.BPU.ATRR.Projected'!R100</f>
        <v>2020</v>
      </c>
      <c r="J10" s="468"/>
      <c r="K10" s="295" t="s">
        <v>51</v>
      </c>
      <c r="O10" s="279"/>
      <c r="P10" s="279"/>
      <c r="R10" s="244"/>
      <c r="S10" s="244"/>
      <c r="T10" s="244"/>
      <c r="U10" s="244"/>
    </row>
    <row r="11" spans="1:21">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11</v>
      </c>
      <c r="E12" s="473" t="s">
        <v>55</v>
      </c>
      <c r="F12" s="409"/>
      <c r="G12" s="221"/>
      <c r="H12" s="221"/>
      <c r="I12" s="477">
        <f>'OKT.WS.F.BPU.ATRR.Projected'!$F$78</f>
        <v>0.1064171487591708</v>
      </c>
      <c r="J12" s="414"/>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595370.1470588235</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2014</v>
      </c>
      <c r="D17" s="613">
        <v>19043679.66</v>
      </c>
      <c r="E17" s="621">
        <v>27453.384639991029</v>
      </c>
      <c r="F17" s="613">
        <v>19016226.275360011</v>
      </c>
      <c r="G17" s="621">
        <v>376170.81030765898</v>
      </c>
      <c r="H17" s="618">
        <v>376170.81030765898</v>
      </c>
      <c r="I17" s="585">
        <v>0</v>
      </c>
      <c r="J17" s="501"/>
      <c r="K17" s="502">
        <f t="shared" ref="K17:K22" si="1">G17</f>
        <v>376170.81030765898</v>
      </c>
      <c r="L17" s="503">
        <f t="shared" ref="L17:L22" si="2">IF(K17&lt;&gt;0,+G17-K17,0)</f>
        <v>0</v>
      </c>
      <c r="M17" s="502">
        <f t="shared" ref="M17:M22" si="3">H17</f>
        <v>376170.81030765898</v>
      </c>
      <c r="N17" s="504">
        <f>IF(M17&lt;&gt;0,+H17-M17,0)</f>
        <v>0</v>
      </c>
      <c r="O17" s="505">
        <f>+N17-L17</f>
        <v>0</v>
      </c>
      <c r="P17" s="279"/>
      <c r="R17" s="244"/>
      <c r="S17" s="244"/>
      <c r="T17" s="244"/>
      <c r="U17" s="244"/>
    </row>
    <row r="18" spans="2:21">
      <c r="B18" s="145" t="str">
        <f t="shared" si="0"/>
        <v/>
      </c>
      <c r="C18" s="496">
        <f>IF(D11="","-",+C17+1)</f>
        <v>2015</v>
      </c>
      <c r="D18" s="615">
        <v>19016226.275360011</v>
      </c>
      <c r="E18" s="614">
        <v>329440.61567989236</v>
      </c>
      <c r="F18" s="615">
        <v>18686785.659680117</v>
      </c>
      <c r="G18" s="614">
        <v>2255402.3674066337</v>
      </c>
      <c r="H18" s="618">
        <v>2255402.3674066337</v>
      </c>
      <c r="I18" s="501">
        <v>0</v>
      </c>
      <c r="J18" s="501"/>
      <c r="K18" s="507">
        <f t="shared" si="1"/>
        <v>2255402.3674066337</v>
      </c>
      <c r="L18" s="508">
        <f t="shared" si="2"/>
        <v>0</v>
      </c>
      <c r="M18" s="507">
        <f t="shared" si="3"/>
        <v>2255402.3674066337</v>
      </c>
      <c r="N18" s="505">
        <f>IF(M18&lt;&gt;0,+H18-M18,0)</f>
        <v>0</v>
      </c>
      <c r="O18" s="505">
        <f>+N18-L18</f>
        <v>0</v>
      </c>
      <c r="P18" s="279"/>
      <c r="R18" s="244"/>
      <c r="S18" s="244"/>
      <c r="T18" s="244"/>
      <c r="U18" s="244"/>
    </row>
    <row r="19" spans="2:21">
      <c r="B19" s="145" t="str">
        <f t="shared" si="0"/>
        <v>IU</v>
      </c>
      <c r="C19" s="496">
        <f>IF(D11="","-",+C18+1)</f>
        <v>2016</v>
      </c>
      <c r="D19" s="615">
        <v>19821118.999680117</v>
      </c>
      <c r="E19" s="614">
        <v>419288.09601556091</v>
      </c>
      <c r="F19" s="615">
        <v>19401830.903664555</v>
      </c>
      <c r="G19" s="614">
        <v>2512364.7940132553</v>
      </c>
      <c r="H19" s="618">
        <v>2512364.7940132553</v>
      </c>
      <c r="I19" s="501">
        <f>H19-G19</f>
        <v>0</v>
      </c>
      <c r="J19" s="501"/>
      <c r="K19" s="507">
        <f t="shared" si="1"/>
        <v>2512364.7940132553</v>
      </c>
      <c r="L19" s="508">
        <f t="shared" si="2"/>
        <v>0</v>
      </c>
      <c r="M19" s="507">
        <f t="shared" si="3"/>
        <v>2512364.7940132553</v>
      </c>
      <c r="N19" s="505">
        <f t="shared" ref="N19:N73" si="4">IF(M19&lt;&gt;0,+H19-M19,0)</f>
        <v>0</v>
      </c>
      <c r="O19" s="505">
        <f t="shared" ref="O19:O73" si="5">+N19-L19</f>
        <v>0</v>
      </c>
      <c r="P19" s="279"/>
      <c r="R19" s="244"/>
      <c r="S19" s="244"/>
      <c r="T19" s="244"/>
      <c r="U19" s="244"/>
    </row>
    <row r="20" spans="2:21">
      <c r="B20" s="145" t="str">
        <f t="shared" si="0"/>
        <v>IU</v>
      </c>
      <c r="C20" s="496">
        <f>IF(D11="","-",+C19+1)</f>
        <v>2017</v>
      </c>
      <c r="D20" s="615">
        <v>19471877.903664555</v>
      </c>
      <c r="E20" s="614">
        <v>398116.94637922302</v>
      </c>
      <c r="F20" s="615">
        <v>19073760.957285333</v>
      </c>
      <c r="G20" s="614">
        <v>2516970.1817795802</v>
      </c>
      <c r="H20" s="618">
        <v>2516970.1817795802</v>
      </c>
      <c r="I20" s="501">
        <f t="shared" ref="I20:I73" si="6">H20-G20</f>
        <v>0</v>
      </c>
      <c r="J20" s="501"/>
      <c r="K20" s="507">
        <f t="shared" si="1"/>
        <v>2516970.1817795802</v>
      </c>
      <c r="L20" s="508">
        <f t="shared" si="2"/>
        <v>0</v>
      </c>
      <c r="M20" s="507">
        <f t="shared" si="3"/>
        <v>2516970.1817795802</v>
      </c>
      <c r="N20" s="505">
        <f>IF(M20&lt;&gt;0,+H20-M20,0)</f>
        <v>0</v>
      </c>
      <c r="O20" s="505">
        <f>+N20-L20</f>
        <v>0</v>
      </c>
      <c r="P20" s="279"/>
      <c r="R20" s="244"/>
      <c r="S20" s="244"/>
      <c r="T20" s="244"/>
      <c r="U20" s="244"/>
    </row>
    <row r="21" spans="2:21">
      <c r="B21" s="145" t="str">
        <f t="shared" si="0"/>
        <v/>
      </c>
      <c r="C21" s="496">
        <f>IF(D11="","-",+C20+1)</f>
        <v>2018</v>
      </c>
      <c r="D21" s="615">
        <v>19073760.957285333</v>
      </c>
      <c r="E21" s="614">
        <v>496575.20652112603</v>
      </c>
      <c r="F21" s="615">
        <v>18577185.750764206</v>
      </c>
      <c r="G21" s="614">
        <v>2708399.4041434019</v>
      </c>
      <c r="H21" s="618">
        <v>2708399.4041434019</v>
      </c>
      <c r="I21" s="501">
        <v>0</v>
      </c>
      <c r="J21" s="501"/>
      <c r="K21" s="507">
        <f t="shared" si="1"/>
        <v>2708399.4041434019</v>
      </c>
      <c r="L21" s="508">
        <f t="shared" si="2"/>
        <v>0</v>
      </c>
      <c r="M21" s="507">
        <f t="shared" si="3"/>
        <v>2708399.4041434019</v>
      </c>
      <c r="N21" s="505">
        <f>IF(M21&lt;&gt;0,+H21-M21,0)</f>
        <v>0</v>
      </c>
      <c r="O21" s="505">
        <f>+N21-L21</f>
        <v>0</v>
      </c>
      <c r="P21" s="279"/>
      <c r="R21" s="244"/>
      <c r="S21" s="244"/>
      <c r="T21" s="244"/>
      <c r="U21" s="244"/>
    </row>
    <row r="22" spans="2:21">
      <c r="B22" s="145" t="str">
        <f t="shared" si="0"/>
        <v>IU</v>
      </c>
      <c r="C22" s="496">
        <f>IF(D11="","-",+C21+1)</f>
        <v>2019</v>
      </c>
      <c r="D22" s="615">
        <v>18578185.750764206</v>
      </c>
      <c r="E22" s="614">
        <v>496599.73110306234</v>
      </c>
      <c r="F22" s="615">
        <v>18081586.019661143</v>
      </c>
      <c r="G22" s="614">
        <v>2650196.8480595225</v>
      </c>
      <c r="H22" s="618">
        <v>2650196.8480595225</v>
      </c>
      <c r="I22" s="501">
        <f t="shared" si="6"/>
        <v>0</v>
      </c>
      <c r="J22" s="501"/>
      <c r="K22" s="507">
        <f t="shared" si="1"/>
        <v>2650196.8480595225</v>
      </c>
      <c r="L22" s="508">
        <f t="shared" si="2"/>
        <v>0</v>
      </c>
      <c r="M22" s="507">
        <f t="shared" si="3"/>
        <v>2650196.8480595225</v>
      </c>
      <c r="N22" s="505">
        <f>IF(M22&lt;&gt;0,+H22-M22,0)</f>
        <v>0</v>
      </c>
      <c r="O22" s="505">
        <f>+N22-L22</f>
        <v>0</v>
      </c>
      <c r="P22" s="279"/>
      <c r="R22" s="244"/>
      <c r="S22" s="244"/>
      <c r="T22" s="244"/>
      <c r="U22" s="244"/>
    </row>
    <row r="23" spans="2:21">
      <c r="B23" s="145" t="str">
        <f t="shared" si="0"/>
        <v>IU</v>
      </c>
      <c r="C23" s="496">
        <f>IF(D11="","-",+C22+1)</f>
        <v>2020</v>
      </c>
      <c r="D23" s="615">
        <v>18080586.019661143</v>
      </c>
      <c r="E23" s="614">
        <v>592899.2478612588</v>
      </c>
      <c r="F23" s="615">
        <v>17487686.771799885</v>
      </c>
      <c r="G23" s="614">
        <v>2459032.5411911216</v>
      </c>
      <c r="H23" s="618">
        <v>2459032.5411911216</v>
      </c>
      <c r="I23" s="501">
        <f t="shared" si="6"/>
        <v>0</v>
      </c>
      <c r="J23" s="501"/>
      <c r="K23" s="507">
        <f t="shared" ref="K23" si="7">G23</f>
        <v>2459032.5411911216</v>
      </c>
      <c r="L23" s="508">
        <f t="shared" ref="L23" si="8">IF(K23&lt;&gt;0,+G23-K23,0)</f>
        <v>0</v>
      </c>
      <c r="M23" s="507">
        <f t="shared" ref="M23" si="9">H23</f>
        <v>2459032.5411911216</v>
      </c>
      <c r="N23" s="505">
        <f t="shared" si="4"/>
        <v>0</v>
      </c>
      <c r="O23" s="505">
        <f t="shared" si="5"/>
        <v>0</v>
      </c>
      <c r="P23" s="279"/>
      <c r="R23" s="244"/>
      <c r="S23" s="244"/>
      <c r="T23" s="244"/>
      <c r="U23" s="244"/>
    </row>
    <row r="24" spans="2:21">
      <c r="B24" s="145" t="str">
        <f t="shared" si="0"/>
        <v>IU</v>
      </c>
      <c r="C24" s="496">
        <f>IF(D11="","-",+C23+1)</f>
        <v>2021</v>
      </c>
      <c r="D24" s="615">
        <v>17378277.390892096</v>
      </c>
      <c r="E24" s="614">
        <v>652986.61290322582</v>
      </c>
      <c r="F24" s="615">
        <v>16725290.77798887</v>
      </c>
      <c r="G24" s="614">
        <v>2497735.0197140798</v>
      </c>
      <c r="H24" s="618">
        <v>2497735.0197140798</v>
      </c>
      <c r="I24" s="501">
        <f t="shared" si="6"/>
        <v>0</v>
      </c>
      <c r="J24" s="501"/>
      <c r="K24" s="507">
        <f t="shared" ref="K24" si="10">G24</f>
        <v>2497735.0197140798</v>
      </c>
      <c r="L24" s="508">
        <f t="shared" ref="L24" si="11">IF(K24&lt;&gt;0,+G24-K24,0)</f>
        <v>0</v>
      </c>
      <c r="M24" s="507">
        <f t="shared" ref="M24" si="12">H24</f>
        <v>2497735.0197140798</v>
      </c>
      <c r="N24" s="505">
        <f t="shared" si="4"/>
        <v>0</v>
      </c>
      <c r="O24" s="505">
        <f t="shared" si="5"/>
        <v>0</v>
      </c>
      <c r="P24" s="279"/>
      <c r="R24" s="244"/>
      <c r="S24" s="244"/>
      <c r="T24" s="244"/>
      <c r="U24" s="244"/>
    </row>
    <row r="25" spans="2:21">
      <c r="B25" s="145" t="str">
        <f t="shared" si="0"/>
        <v>IU</v>
      </c>
      <c r="C25" s="496">
        <f>IF(D11="","-",+C24+1)</f>
        <v>2022</v>
      </c>
      <c r="D25" s="509">
        <f>IF(F24+SUM(E$17:E24)=D$10,F24,D$10-SUM(E$17:E24))</f>
        <v>16829225.158896659</v>
      </c>
      <c r="E25" s="510">
        <f t="shared" ref="E25:E73" si="13">IF(+$I$14&lt;F24,$I$14,D25)</f>
        <v>595370.1470588235</v>
      </c>
      <c r="F25" s="511">
        <f t="shared" ref="F25:F73" si="14">+D25-E25</f>
        <v>16233855.011837834</v>
      </c>
      <c r="G25" s="512">
        <f t="shared" ref="G25:G73" si="15">(D25+F25)/2*I$12+E25</f>
        <v>2354609.5075415452</v>
      </c>
      <c r="H25" s="478">
        <f t="shared" ref="H25:H73" si="16">+(D25+F25)/2*I$13+E25</f>
        <v>2354609.5075415452</v>
      </c>
      <c r="I25" s="501">
        <f t="shared" si="6"/>
        <v>0</v>
      </c>
      <c r="J25" s="501"/>
      <c r="K25" s="513"/>
      <c r="L25" s="505">
        <f t="shared" ref="L25:L73" si="17">IF(K25&lt;&gt;0,+G25-K25,0)</f>
        <v>0</v>
      </c>
      <c r="M25" s="513"/>
      <c r="N25" s="505">
        <f t="shared" si="4"/>
        <v>0</v>
      </c>
      <c r="O25" s="505">
        <f t="shared" si="5"/>
        <v>0</v>
      </c>
      <c r="P25" s="279"/>
      <c r="R25" s="244"/>
      <c r="S25" s="244"/>
      <c r="T25" s="244"/>
      <c r="U25" s="244"/>
    </row>
    <row r="26" spans="2:21">
      <c r="B26" s="145" t="str">
        <f t="shared" si="0"/>
        <v/>
      </c>
      <c r="C26" s="496">
        <f>IF(D11="","-",+C25+1)</f>
        <v>2023</v>
      </c>
      <c r="D26" s="509">
        <f>IF(F25+SUM(E$17:E25)=D$10,F25,D$10-SUM(E$17:E25))</f>
        <v>16233855.011837834</v>
      </c>
      <c r="E26" s="510">
        <f t="shared" si="13"/>
        <v>595370.1470588235</v>
      </c>
      <c r="F26" s="511">
        <f t="shared" si="14"/>
        <v>15638484.86477901</v>
      </c>
      <c r="G26" s="512">
        <f t="shared" si="15"/>
        <v>2291251.9140352164</v>
      </c>
      <c r="H26" s="478">
        <f t="shared" si="16"/>
        <v>2291251.9140352164</v>
      </c>
      <c r="I26" s="501">
        <f t="shared" si="6"/>
        <v>0</v>
      </c>
      <c r="J26" s="501"/>
      <c r="K26" s="513"/>
      <c r="L26" s="505">
        <f t="shared" si="17"/>
        <v>0</v>
      </c>
      <c r="M26" s="513"/>
      <c r="N26" s="505">
        <f t="shared" si="4"/>
        <v>0</v>
      </c>
      <c r="O26" s="505">
        <f t="shared" si="5"/>
        <v>0</v>
      </c>
      <c r="P26" s="279"/>
      <c r="R26" s="244"/>
      <c r="S26" s="244"/>
      <c r="T26" s="244"/>
      <c r="U26" s="244"/>
    </row>
    <row r="27" spans="2:21">
      <c r="B27" s="145" t="str">
        <f t="shared" si="0"/>
        <v/>
      </c>
      <c r="C27" s="496">
        <f>IF(D11="","-",+C26+1)</f>
        <v>2024</v>
      </c>
      <c r="D27" s="509">
        <f>IF(F26+SUM(E$17:E26)=D$10,F26,D$10-SUM(E$17:E26))</f>
        <v>15638484.86477901</v>
      </c>
      <c r="E27" s="510">
        <f t="shared" si="13"/>
        <v>595370.1470588235</v>
      </c>
      <c r="F27" s="511">
        <f t="shared" si="14"/>
        <v>15043114.717720186</v>
      </c>
      <c r="G27" s="512">
        <f t="shared" si="15"/>
        <v>2227894.3205288886</v>
      </c>
      <c r="H27" s="478">
        <f t="shared" si="16"/>
        <v>2227894.3205288886</v>
      </c>
      <c r="I27" s="501">
        <f t="shared" si="6"/>
        <v>0</v>
      </c>
      <c r="J27" s="501"/>
      <c r="K27" s="513"/>
      <c r="L27" s="505">
        <f t="shared" si="17"/>
        <v>0</v>
      </c>
      <c r="M27" s="513"/>
      <c r="N27" s="505">
        <f t="shared" si="4"/>
        <v>0</v>
      </c>
      <c r="O27" s="505">
        <f t="shared" si="5"/>
        <v>0</v>
      </c>
      <c r="P27" s="279"/>
      <c r="R27" s="244"/>
      <c r="S27" s="244"/>
      <c r="T27" s="244"/>
      <c r="U27" s="244"/>
    </row>
    <row r="28" spans="2:21">
      <c r="B28" s="145" t="str">
        <f t="shared" si="0"/>
        <v/>
      </c>
      <c r="C28" s="496">
        <f>IF(D11="","-",+C27+1)</f>
        <v>2025</v>
      </c>
      <c r="D28" s="509">
        <f>IF(F27+SUM(E$17:E27)=D$10,F27,D$10-SUM(E$17:E27))</f>
        <v>15043114.717720186</v>
      </c>
      <c r="E28" s="510">
        <f t="shared" si="13"/>
        <v>595370.1470588235</v>
      </c>
      <c r="F28" s="511">
        <f t="shared" si="14"/>
        <v>14447744.570661362</v>
      </c>
      <c r="G28" s="512">
        <f t="shared" si="15"/>
        <v>2164536.7270225598</v>
      </c>
      <c r="H28" s="478">
        <f t="shared" si="16"/>
        <v>2164536.7270225598</v>
      </c>
      <c r="I28" s="501">
        <f t="shared" si="6"/>
        <v>0</v>
      </c>
      <c r="J28" s="501"/>
      <c r="K28" s="513"/>
      <c r="L28" s="505">
        <f t="shared" si="17"/>
        <v>0</v>
      </c>
      <c r="M28" s="513"/>
      <c r="N28" s="505">
        <f t="shared" si="4"/>
        <v>0</v>
      </c>
      <c r="O28" s="505">
        <f t="shared" si="5"/>
        <v>0</v>
      </c>
      <c r="P28" s="279"/>
      <c r="R28" s="244"/>
      <c r="S28" s="244"/>
      <c r="T28" s="244"/>
      <c r="U28" s="244"/>
    </row>
    <row r="29" spans="2:21">
      <c r="B29" s="145" t="str">
        <f t="shared" si="0"/>
        <v/>
      </c>
      <c r="C29" s="496">
        <f>IF(D11="","-",+C28+1)</f>
        <v>2026</v>
      </c>
      <c r="D29" s="509">
        <f>IF(F28+SUM(E$17:E28)=D$10,F28,D$10-SUM(E$17:E28))</f>
        <v>14447744.570661362</v>
      </c>
      <c r="E29" s="510">
        <f t="shared" si="13"/>
        <v>595370.1470588235</v>
      </c>
      <c r="F29" s="511">
        <f t="shared" si="14"/>
        <v>13852374.423602538</v>
      </c>
      <c r="G29" s="512">
        <f t="shared" si="15"/>
        <v>2101179.133516232</v>
      </c>
      <c r="H29" s="478">
        <f t="shared" si="16"/>
        <v>2101179.133516232</v>
      </c>
      <c r="I29" s="501">
        <f t="shared" si="6"/>
        <v>0</v>
      </c>
      <c r="J29" s="501"/>
      <c r="K29" s="513"/>
      <c r="L29" s="505">
        <f t="shared" si="17"/>
        <v>0</v>
      </c>
      <c r="M29" s="513"/>
      <c r="N29" s="505">
        <f t="shared" si="4"/>
        <v>0</v>
      </c>
      <c r="O29" s="505">
        <f t="shared" si="5"/>
        <v>0</v>
      </c>
      <c r="P29" s="279"/>
      <c r="R29" s="244"/>
      <c r="S29" s="244"/>
      <c r="T29" s="244"/>
      <c r="U29" s="244"/>
    </row>
    <row r="30" spans="2:21">
      <c r="B30" s="145" t="str">
        <f t="shared" si="0"/>
        <v/>
      </c>
      <c r="C30" s="496">
        <f>IF(D11="","-",+C29+1)</f>
        <v>2027</v>
      </c>
      <c r="D30" s="509">
        <f>IF(F29+SUM(E$17:E29)=D$10,F29,D$10-SUM(E$17:E29))</f>
        <v>13852374.423602538</v>
      </c>
      <c r="E30" s="510">
        <f t="shared" si="13"/>
        <v>595370.1470588235</v>
      </c>
      <c r="F30" s="511">
        <f t="shared" si="14"/>
        <v>13257004.276543714</v>
      </c>
      <c r="G30" s="512">
        <f t="shared" si="15"/>
        <v>2037821.5400099033</v>
      </c>
      <c r="H30" s="478">
        <f t="shared" si="16"/>
        <v>2037821.5400099033</v>
      </c>
      <c r="I30" s="501">
        <f t="shared" si="6"/>
        <v>0</v>
      </c>
      <c r="J30" s="501"/>
      <c r="K30" s="513"/>
      <c r="L30" s="505">
        <f t="shared" si="17"/>
        <v>0</v>
      </c>
      <c r="M30" s="513"/>
      <c r="N30" s="505">
        <f t="shared" si="4"/>
        <v>0</v>
      </c>
      <c r="O30" s="505">
        <f t="shared" si="5"/>
        <v>0</v>
      </c>
      <c r="P30" s="279"/>
      <c r="R30" s="244"/>
      <c r="S30" s="244"/>
      <c r="T30" s="244"/>
      <c r="U30" s="244"/>
    </row>
    <row r="31" spans="2:21">
      <c r="B31" s="145" t="str">
        <f t="shared" si="0"/>
        <v/>
      </c>
      <c r="C31" s="496">
        <f>IF(D11="","-",+C30+1)</f>
        <v>2028</v>
      </c>
      <c r="D31" s="509">
        <f>IF(F30+SUM(E$17:E30)=D$10,F30,D$10-SUM(E$17:E30))</f>
        <v>13257004.276543714</v>
      </c>
      <c r="E31" s="510">
        <f t="shared" si="13"/>
        <v>595370.1470588235</v>
      </c>
      <c r="F31" s="511">
        <f t="shared" si="14"/>
        <v>12661634.12948489</v>
      </c>
      <c r="G31" s="512">
        <f t="shared" si="15"/>
        <v>1974463.9465035754</v>
      </c>
      <c r="H31" s="478">
        <f t="shared" si="16"/>
        <v>1974463.9465035754</v>
      </c>
      <c r="I31" s="501">
        <f t="shared" si="6"/>
        <v>0</v>
      </c>
      <c r="J31" s="501"/>
      <c r="K31" s="513"/>
      <c r="L31" s="505">
        <f t="shared" si="17"/>
        <v>0</v>
      </c>
      <c r="M31" s="513"/>
      <c r="N31" s="505">
        <f t="shared" si="4"/>
        <v>0</v>
      </c>
      <c r="O31" s="505">
        <f t="shared" si="5"/>
        <v>0</v>
      </c>
      <c r="P31" s="279"/>
      <c r="Q31" s="221"/>
      <c r="R31" s="279"/>
      <c r="S31" s="279"/>
      <c r="T31" s="279"/>
      <c r="U31" s="244"/>
    </row>
    <row r="32" spans="2:21">
      <c r="B32" s="145" t="str">
        <f t="shared" si="0"/>
        <v/>
      </c>
      <c r="C32" s="496">
        <f>IF(D12="","-",+C31+1)</f>
        <v>2029</v>
      </c>
      <c r="D32" s="509">
        <f>IF(F31+SUM(E$17:E31)=D$10,F31,D$10-SUM(E$17:E31))</f>
        <v>12661634.12948489</v>
      </c>
      <c r="E32" s="510">
        <f>IF(+$I$14&lt;F31,$I$14,D32)</f>
        <v>595370.1470588235</v>
      </c>
      <c r="F32" s="511">
        <f>+D32-E32</f>
        <v>12066263.982426066</v>
      </c>
      <c r="G32" s="512">
        <f t="shared" si="15"/>
        <v>1911106.3529972467</v>
      </c>
      <c r="H32" s="478">
        <f t="shared" si="16"/>
        <v>1911106.3529972467</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2030</v>
      </c>
      <c r="D33" s="509">
        <f>IF(F32+SUM(E$17:E32)=D$10,F32,D$10-SUM(E$17:E32))</f>
        <v>12066263.982426066</v>
      </c>
      <c r="E33" s="510">
        <f>IF(+$I$14&lt;F32,$I$14,D33)</f>
        <v>595370.1470588235</v>
      </c>
      <c r="F33" s="511">
        <f>+D33-E33</f>
        <v>11470893.835367242</v>
      </c>
      <c r="G33" s="512">
        <f t="shared" si="15"/>
        <v>1847748.7594909188</v>
      </c>
      <c r="H33" s="478">
        <f t="shared" si="16"/>
        <v>1847748.7594909188</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2031</v>
      </c>
      <c r="D34" s="515">
        <f>IF(F33+SUM(E$17:E33)=D$10,F33,D$10-SUM(E$17:E33))</f>
        <v>11470893.835367242</v>
      </c>
      <c r="E34" s="516">
        <f t="shared" si="13"/>
        <v>595370.1470588235</v>
      </c>
      <c r="F34" s="517">
        <f t="shared" si="14"/>
        <v>10875523.688308418</v>
      </c>
      <c r="G34" s="512">
        <f t="shared" si="15"/>
        <v>1784391.1659845905</v>
      </c>
      <c r="H34" s="478">
        <f t="shared" si="16"/>
        <v>1784391.1659845905</v>
      </c>
      <c r="I34" s="520">
        <f t="shared" si="6"/>
        <v>0</v>
      </c>
      <c r="J34" s="520"/>
      <c r="K34" s="521"/>
      <c r="L34" s="522">
        <f t="shared" si="17"/>
        <v>0</v>
      </c>
      <c r="M34" s="521"/>
      <c r="N34" s="522">
        <f t="shared" si="4"/>
        <v>0</v>
      </c>
      <c r="O34" s="522">
        <f t="shared" si="5"/>
        <v>0</v>
      </c>
      <c r="P34" s="523"/>
      <c r="Q34" s="217"/>
      <c r="R34" s="523"/>
      <c r="S34" s="523"/>
      <c r="T34" s="523"/>
      <c r="U34" s="244"/>
    </row>
    <row r="35" spans="2:21">
      <c r="B35" s="145" t="str">
        <f t="shared" si="0"/>
        <v/>
      </c>
      <c r="C35" s="496">
        <f>IF(D11="","-",+C34+1)</f>
        <v>2032</v>
      </c>
      <c r="D35" s="509">
        <f>IF(F34+SUM(E$17:E34)=D$10,F34,D$10-SUM(E$17:E34))</f>
        <v>10875523.688308418</v>
      </c>
      <c r="E35" s="510">
        <f t="shared" si="13"/>
        <v>595370.1470588235</v>
      </c>
      <c r="F35" s="511">
        <f t="shared" si="14"/>
        <v>10280153.541249594</v>
      </c>
      <c r="G35" s="512">
        <f t="shared" si="15"/>
        <v>1721033.5724782622</v>
      </c>
      <c r="H35" s="478">
        <f t="shared" si="16"/>
        <v>1721033.5724782622</v>
      </c>
      <c r="I35" s="501">
        <f t="shared" si="6"/>
        <v>0</v>
      </c>
      <c r="J35" s="501"/>
      <c r="K35" s="513"/>
      <c r="L35" s="505">
        <f t="shared" si="17"/>
        <v>0</v>
      </c>
      <c r="M35" s="513"/>
      <c r="N35" s="505">
        <f t="shared" si="4"/>
        <v>0</v>
      </c>
      <c r="O35" s="505">
        <f t="shared" si="5"/>
        <v>0</v>
      </c>
      <c r="P35" s="279"/>
      <c r="R35" s="244"/>
      <c r="S35" s="244"/>
      <c r="T35" s="244"/>
      <c r="U35" s="244"/>
    </row>
    <row r="36" spans="2:21">
      <c r="B36" s="145" t="str">
        <f t="shared" si="0"/>
        <v/>
      </c>
      <c r="C36" s="496">
        <f>IF(D11="","-",+C35+1)</f>
        <v>2033</v>
      </c>
      <c r="D36" s="509">
        <f>IF(F35+SUM(E$17:E35)=D$10,F35,D$10-SUM(E$17:E35))</f>
        <v>10280153.541249594</v>
      </c>
      <c r="E36" s="510">
        <f t="shared" si="13"/>
        <v>595370.1470588235</v>
      </c>
      <c r="F36" s="511">
        <f t="shared" si="14"/>
        <v>9684783.3941907696</v>
      </c>
      <c r="G36" s="512">
        <f t="shared" si="15"/>
        <v>1657675.9789719339</v>
      </c>
      <c r="H36" s="478">
        <f t="shared" si="16"/>
        <v>1657675.9789719339</v>
      </c>
      <c r="I36" s="501">
        <f t="shared" si="6"/>
        <v>0</v>
      </c>
      <c r="J36" s="501"/>
      <c r="K36" s="513"/>
      <c r="L36" s="505">
        <f t="shared" si="17"/>
        <v>0</v>
      </c>
      <c r="M36" s="513"/>
      <c r="N36" s="505">
        <f t="shared" si="4"/>
        <v>0</v>
      </c>
      <c r="O36" s="505">
        <f t="shared" si="5"/>
        <v>0</v>
      </c>
      <c r="P36" s="279"/>
      <c r="R36" s="244"/>
      <c r="S36" s="244"/>
      <c r="T36" s="244"/>
      <c r="U36" s="244"/>
    </row>
    <row r="37" spans="2:21">
      <c r="B37" s="145" t="str">
        <f t="shared" si="0"/>
        <v/>
      </c>
      <c r="C37" s="496">
        <f>IF(D11="","-",+C36+1)</f>
        <v>2034</v>
      </c>
      <c r="D37" s="509">
        <f>IF(F36+SUM(E$17:E36)=D$10,F36,D$10-SUM(E$17:E36))</f>
        <v>9684783.3941907696</v>
      </c>
      <c r="E37" s="510">
        <f t="shared" si="13"/>
        <v>595370.1470588235</v>
      </c>
      <c r="F37" s="511">
        <f t="shared" si="14"/>
        <v>9089413.2471319456</v>
      </c>
      <c r="G37" s="512">
        <f t="shared" si="15"/>
        <v>1594318.3854656057</v>
      </c>
      <c r="H37" s="478">
        <f t="shared" si="16"/>
        <v>1594318.3854656057</v>
      </c>
      <c r="I37" s="501">
        <f t="shared" si="6"/>
        <v>0</v>
      </c>
      <c r="J37" s="501"/>
      <c r="K37" s="513"/>
      <c r="L37" s="505">
        <f t="shared" si="17"/>
        <v>0</v>
      </c>
      <c r="M37" s="513"/>
      <c r="N37" s="505">
        <f t="shared" si="4"/>
        <v>0</v>
      </c>
      <c r="O37" s="505">
        <f t="shared" si="5"/>
        <v>0</v>
      </c>
      <c r="P37" s="279"/>
      <c r="R37" s="244"/>
      <c r="S37" s="244"/>
      <c r="T37" s="244"/>
      <c r="U37" s="244"/>
    </row>
    <row r="38" spans="2:21">
      <c r="B38" s="145" t="str">
        <f t="shared" si="0"/>
        <v/>
      </c>
      <c r="C38" s="496">
        <f>IF(D11="","-",+C37+1)</f>
        <v>2035</v>
      </c>
      <c r="D38" s="509">
        <f>IF(F37+SUM(E$17:E37)=D$10,F37,D$10-SUM(E$17:E37))</f>
        <v>9089413.2471319456</v>
      </c>
      <c r="E38" s="510">
        <f t="shared" si="13"/>
        <v>595370.1470588235</v>
      </c>
      <c r="F38" s="511">
        <f t="shared" si="14"/>
        <v>8494043.1000731215</v>
      </c>
      <c r="G38" s="512">
        <f t="shared" si="15"/>
        <v>1530960.7919592774</v>
      </c>
      <c r="H38" s="478">
        <f t="shared" si="16"/>
        <v>1530960.7919592774</v>
      </c>
      <c r="I38" s="501">
        <f t="shared" si="6"/>
        <v>0</v>
      </c>
      <c r="J38" s="501"/>
      <c r="K38" s="513"/>
      <c r="L38" s="505">
        <f t="shared" si="17"/>
        <v>0</v>
      </c>
      <c r="M38" s="513"/>
      <c r="N38" s="505">
        <f t="shared" si="4"/>
        <v>0</v>
      </c>
      <c r="O38" s="505">
        <f t="shared" si="5"/>
        <v>0</v>
      </c>
      <c r="P38" s="279"/>
      <c r="R38" s="244"/>
      <c r="S38" s="244"/>
      <c r="T38" s="244"/>
      <c r="U38" s="244"/>
    </row>
    <row r="39" spans="2:21">
      <c r="B39" s="145" t="str">
        <f t="shared" si="0"/>
        <v/>
      </c>
      <c r="C39" s="496">
        <f>IF(D11="","-",+C38+1)</f>
        <v>2036</v>
      </c>
      <c r="D39" s="509">
        <f>IF(F38+SUM(E$17:E38)=D$10,F38,D$10-SUM(E$17:E38))</f>
        <v>8494043.1000731215</v>
      </c>
      <c r="E39" s="510">
        <f t="shared" si="13"/>
        <v>595370.1470588235</v>
      </c>
      <c r="F39" s="511">
        <f t="shared" si="14"/>
        <v>7898672.9530142983</v>
      </c>
      <c r="G39" s="512">
        <f t="shared" si="15"/>
        <v>1467603.1984529491</v>
      </c>
      <c r="H39" s="478">
        <f t="shared" si="16"/>
        <v>1467603.1984529491</v>
      </c>
      <c r="I39" s="501">
        <f t="shared" si="6"/>
        <v>0</v>
      </c>
      <c r="J39" s="501"/>
      <c r="K39" s="513"/>
      <c r="L39" s="505">
        <f t="shared" si="17"/>
        <v>0</v>
      </c>
      <c r="M39" s="513"/>
      <c r="N39" s="505">
        <f t="shared" si="4"/>
        <v>0</v>
      </c>
      <c r="O39" s="505">
        <f t="shared" si="5"/>
        <v>0</v>
      </c>
      <c r="P39" s="279"/>
      <c r="R39" s="244"/>
      <c r="S39" s="244"/>
      <c r="T39" s="244"/>
      <c r="U39" s="244"/>
    </row>
    <row r="40" spans="2:21">
      <c r="B40" s="145" t="str">
        <f t="shared" si="0"/>
        <v/>
      </c>
      <c r="C40" s="496">
        <f>IF(D11="","-",+C39+1)</f>
        <v>2037</v>
      </c>
      <c r="D40" s="509">
        <f>IF(F39+SUM(E$17:E39)=D$10,F39,D$10-SUM(E$17:E39))</f>
        <v>7898672.9530142983</v>
      </c>
      <c r="E40" s="510">
        <f t="shared" si="13"/>
        <v>595370.1470588235</v>
      </c>
      <c r="F40" s="511">
        <f t="shared" si="14"/>
        <v>7303302.8059554752</v>
      </c>
      <c r="G40" s="512">
        <f t="shared" si="15"/>
        <v>1404245.6049466208</v>
      </c>
      <c r="H40" s="478">
        <f t="shared" si="16"/>
        <v>1404245.6049466208</v>
      </c>
      <c r="I40" s="501">
        <f t="shared" si="6"/>
        <v>0</v>
      </c>
      <c r="J40" s="501"/>
      <c r="K40" s="513"/>
      <c r="L40" s="505">
        <f t="shared" si="17"/>
        <v>0</v>
      </c>
      <c r="M40" s="513"/>
      <c r="N40" s="505">
        <f t="shared" si="4"/>
        <v>0</v>
      </c>
      <c r="O40" s="505">
        <f t="shared" si="5"/>
        <v>0</v>
      </c>
      <c r="P40" s="279"/>
      <c r="R40" s="244"/>
      <c r="S40" s="244"/>
      <c r="T40" s="244"/>
      <c r="U40" s="244"/>
    </row>
    <row r="41" spans="2:21">
      <c r="B41" s="145" t="str">
        <f t="shared" si="0"/>
        <v/>
      </c>
      <c r="C41" s="496">
        <f>IF(D12="","-",+C40+1)</f>
        <v>2038</v>
      </c>
      <c r="D41" s="509">
        <f>IF(F40+SUM(E$17:E40)=D$10,F40,D$10-SUM(E$17:E40))</f>
        <v>7303302.8059554752</v>
      </c>
      <c r="E41" s="510">
        <f t="shared" si="13"/>
        <v>595370.1470588235</v>
      </c>
      <c r="F41" s="511">
        <f t="shared" si="14"/>
        <v>6707932.6588966521</v>
      </c>
      <c r="G41" s="512">
        <f t="shared" si="15"/>
        <v>1340888.0114402929</v>
      </c>
      <c r="H41" s="478">
        <f t="shared" si="16"/>
        <v>1340888.0114402929</v>
      </c>
      <c r="I41" s="501">
        <f t="shared" si="6"/>
        <v>0</v>
      </c>
      <c r="J41" s="501"/>
      <c r="K41" s="513"/>
      <c r="L41" s="505">
        <f t="shared" si="17"/>
        <v>0</v>
      </c>
      <c r="M41" s="513"/>
      <c r="N41" s="505">
        <f t="shared" si="4"/>
        <v>0</v>
      </c>
      <c r="O41" s="505">
        <f t="shared" si="5"/>
        <v>0</v>
      </c>
      <c r="P41" s="279"/>
      <c r="R41" s="244"/>
      <c r="S41" s="244"/>
      <c r="T41" s="244"/>
      <c r="U41" s="244"/>
    </row>
    <row r="42" spans="2:21">
      <c r="B42" s="145" t="str">
        <f t="shared" si="0"/>
        <v/>
      </c>
      <c r="C42" s="496">
        <f>IF(D13="","-",+C41+1)</f>
        <v>2039</v>
      </c>
      <c r="D42" s="509">
        <f>IF(F41+SUM(E$17:E41)=D$10,F41,D$10-SUM(E$17:E41))</f>
        <v>6707932.6588966521</v>
      </c>
      <c r="E42" s="510">
        <f t="shared" si="13"/>
        <v>595370.1470588235</v>
      </c>
      <c r="F42" s="511">
        <f t="shared" si="14"/>
        <v>6112562.5118378289</v>
      </c>
      <c r="G42" s="512">
        <f t="shared" si="15"/>
        <v>1277530.4179339646</v>
      </c>
      <c r="H42" s="478">
        <f t="shared" si="16"/>
        <v>1277530.4179339646</v>
      </c>
      <c r="I42" s="501">
        <f t="shared" si="6"/>
        <v>0</v>
      </c>
      <c r="J42" s="501"/>
      <c r="K42" s="513"/>
      <c r="L42" s="505">
        <f t="shared" si="17"/>
        <v>0</v>
      </c>
      <c r="M42" s="513"/>
      <c r="N42" s="505">
        <f t="shared" si="4"/>
        <v>0</v>
      </c>
      <c r="O42" s="505">
        <f t="shared" si="5"/>
        <v>0</v>
      </c>
      <c r="P42" s="279"/>
      <c r="R42" s="244"/>
      <c r="S42" s="244"/>
      <c r="T42" s="244"/>
      <c r="U42" s="244"/>
    </row>
    <row r="43" spans="2:21">
      <c r="B43" s="145" t="str">
        <f t="shared" si="0"/>
        <v/>
      </c>
      <c r="C43" s="496">
        <f>IF(D11="","-",+C42+1)</f>
        <v>2040</v>
      </c>
      <c r="D43" s="509">
        <f>IF(F42+SUM(E$17:E42)=D$10,F42,D$10-SUM(E$17:E42))</f>
        <v>6112562.5118378289</v>
      </c>
      <c r="E43" s="510">
        <f t="shared" si="13"/>
        <v>595370.1470588235</v>
      </c>
      <c r="F43" s="511">
        <f t="shared" si="14"/>
        <v>5517192.3647790058</v>
      </c>
      <c r="G43" s="512">
        <f t="shared" si="15"/>
        <v>1214172.8244276363</v>
      </c>
      <c r="H43" s="478">
        <f t="shared" si="16"/>
        <v>1214172.8244276363</v>
      </c>
      <c r="I43" s="501">
        <f t="shared" si="6"/>
        <v>0</v>
      </c>
      <c r="J43" s="501"/>
      <c r="K43" s="513"/>
      <c r="L43" s="505">
        <f t="shared" si="17"/>
        <v>0</v>
      </c>
      <c r="M43" s="513"/>
      <c r="N43" s="505">
        <f t="shared" si="4"/>
        <v>0</v>
      </c>
      <c r="O43" s="505">
        <f t="shared" si="5"/>
        <v>0</v>
      </c>
      <c r="P43" s="279"/>
      <c r="R43" s="244"/>
      <c r="S43" s="244"/>
      <c r="T43" s="244"/>
      <c r="U43" s="244"/>
    </row>
    <row r="44" spans="2:21">
      <c r="B44" s="145" t="str">
        <f t="shared" si="0"/>
        <v/>
      </c>
      <c r="C44" s="496">
        <f>IF(D11="","-",+C43+1)</f>
        <v>2041</v>
      </c>
      <c r="D44" s="509">
        <f>IF(F43+SUM(E$17:E43)=D$10,F43,D$10-SUM(E$17:E43))</f>
        <v>5517192.3647790058</v>
      </c>
      <c r="E44" s="510">
        <f t="shared" si="13"/>
        <v>595370.1470588235</v>
      </c>
      <c r="F44" s="511">
        <f t="shared" si="14"/>
        <v>4921822.2177201826</v>
      </c>
      <c r="G44" s="512">
        <f t="shared" si="15"/>
        <v>1150815.230921308</v>
      </c>
      <c r="H44" s="478">
        <f t="shared" si="16"/>
        <v>1150815.230921308</v>
      </c>
      <c r="I44" s="501">
        <f t="shared" si="6"/>
        <v>0</v>
      </c>
      <c r="J44" s="501"/>
      <c r="K44" s="513"/>
      <c r="L44" s="505">
        <f t="shared" si="17"/>
        <v>0</v>
      </c>
      <c r="M44" s="513"/>
      <c r="N44" s="505">
        <f t="shared" si="4"/>
        <v>0</v>
      </c>
      <c r="O44" s="505">
        <f t="shared" si="5"/>
        <v>0</v>
      </c>
      <c r="P44" s="279"/>
      <c r="R44" s="244"/>
      <c r="S44" s="244"/>
      <c r="T44" s="244"/>
      <c r="U44" s="244"/>
    </row>
    <row r="45" spans="2:21">
      <c r="B45" s="145" t="str">
        <f t="shared" si="0"/>
        <v/>
      </c>
      <c r="C45" s="496">
        <f>IF(D11="","-",+C44+1)</f>
        <v>2042</v>
      </c>
      <c r="D45" s="509">
        <f>IF(F44+SUM(E$17:E44)=D$10,F44,D$10-SUM(E$17:E44))</f>
        <v>4921822.2177201826</v>
      </c>
      <c r="E45" s="510">
        <f t="shared" si="13"/>
        <v>595370.1470588235</v>
      </c>
      <c r="F45" s="511">
        <f t="shared" si="14"/>
        <v>4326452.0706613595</v>
      </c>
      <c r="G45" s="512">
        <f t="shared" si="15"/>
        <v>1087457.63741498</v>
      </c>
      <c r="H45" s="478">
        <f t="shared" si="16"/>
        <v>1087457.63741498</v>
      </c>
      <c r="I45" s="501">
        <f t="shared" si="6"/>
        <v>0</v>
      </c>
      <c r="J45" s="501"/>
      <c r="K45" s="513"/>
      <c r="L45" s="505">
        <f t="shared" si="17"/>
        <v>0</v>
      </c>
      <c r="M45" s="513"/>
      <c r="N45" s="505">
        <f t="shared" si="4"/>
        <v>0</v>
      </c>
      <c r="O45" s="505">
        <f t="shared" si="5"/>
        <v>0</v>
      </c>
      <c r="P45" s="279"/>
      <c r="R45" s="244"/>
      <c r="S45" s="244"/>
      <c r="T45" s="244"/>
      <c r="U45" s="244"/>
    </row>
    <row r="46" spans="2:21">
      <c r="B46" s="145" t="str">
        <f t="shared" si="0"/>
        <v/>
      </c>
      <c r="C46" s="496">
        <f>IF(D11="","-",+C45+1)</f>
        <v>2043</v>
      </c>
      <c r="D46" s="509">
        <f>IF(F45+SUM(E$17:E45)=D$10,F45,D$10-SUM(E$17:E45))</f>
        <v>4326452.0706613595</v>
      </c>
      <c r="E46" s="510">
        <f t="shared" si="13"/>
        <v>595370.1470588235</v>
      </c>
      <c r="F46" s="511">
        <f t="shared" si="14"/>
        <v>3731081.9236025359</v>
      </c>
      <c r="G46" s="512">
        <f t="shared" si="15"/>
        <v>1024100.0439086518</v>
      </c>
      <c r="H46" s="478">
        <f t="shared" si="16"/>
        <v>1024100.0439086518</v>
      </c>
      <c r="I46" s="501">
        <f t="shared" si="6"/>
        <v>0</v>
      </c>
      <c r="J46" s="501"/>
      <c r="K46" s="513"/>
      <c r="L46" s="505">
        <f t="shared" si="17"/>
        <v>0</v>
      </c>
      <c r="M46" s="513"/>
      <c r="N46" s="505">
        <f t="shared" si="4"/>
        <v>0</v>
      </c>
      <c r="O46" s="505">
        <f t="shared" si="5"/>
        <v>0</v>
      </c>
      <c r="P46" s="279"/>
      <c r="R46" s="244"/>
      <c r="S46" s="244"/>
      <c r="T46" s="244"/>
      <c r="U46" s="244"/>
    </row>
    <row r="47" spans="2:21">
      <c r="B47" s="145" t="str">
        <f t="shared" si="0"/>
        <v/>
      </c>
      <c r="C47" s="496">
        <f>IF(D11="","-",+C46+1)</f>
        <v>2044</v>
      </c>
      <c r="D47" s="509">
        <f>IF(F46+SUM(E$17:E46)=D$10,F46,D$10-SUM(E$17:E46))</f>
        <v>3731081.9236025359</v>
      </c>
      <c r="E47" s="510">
        <f t="shared" si="13"/>
        <v>595370.1470588235</v>
      </c>
      <c r="F47" s="511">
        <f t="shared" si="14"/>
        <v>3135711.7765437122</v>
      </c>
      <c r="G47" s="512">
        <f t="shared" si="15"/>
        <v>960742.45040232362</v>
      </c>
      <c r="H47" s="478">
        <f t="shared" si="16"/>
        <v>960742.45040232362</v>
      </c>
      <c r="I47" s="501">
        <f t="shared" si="6"/>
        <v>0</v>
      </c>
      <c r="J47" s="501"/>
      <c r="K47" s="513"/>
      <c r="L47" s="505">
        <f t="shared" si="17"/>
        <v>0</v>
      </c>
      <c r="M47" s="513"/>
      <c r="N47" s="505">
        <f t="shared" si="4"/>
        <v>0</v>
      </c>
      <c r="O47" s="505">
        <f t="shared" si="5"/>
        <v>0</v>
      </c>
      <c r="P47" s="279"/>
      <c r="R47" s="244"/>
      <c r="S47" s="244"/>
      <c r="T47" s="244"/>
      <c r="U47" s="244"/>
    </row>
    <row r="48" spans="2:21">
      <c r="B48" s="145" t="str">
        <f t="shared" si="0"/>
        <v/>
      </c>
      <c r="C48" s="496">
        <f>IF(D11="","-",+C47+1)</f>
        <v>2045</v>
      </c>
      <c r="D48" s="509">
        <f>IF(F47+SUM(E$17:E47)=D$10,F47,D$10-SUM(E$17:E47))</f>
        <v>3135711.7765437122</v>
      </c>
      <c r="E48" s="510">
        <f t="shared" si="13"/>
        <v>595370.1470588235</v>
      </c>
      <c r="F48" s="511">
        <f t="shared" si="14"/>
        <v>2540341.6294848886</v>
      </c>
      <c r="G48" s="512">
        <f t="shared" si="15"/>
        <v>897384.85689599533</v>
      </c>
      <c r="H48" s="478">
        <f t="shared" si="16"/>
        <v>897384.85689599533</v>
      </c>
      <c r="I48" s="501">
        <f t="shared" si="6"/>
        <v>0</v>
      </c>
      <c r="J48" s="501"/>
      <c r="K48" s="513"/>
      <c r="L48" s="505">
        <f t="shared" si="17"/>
        <v>0</v>
      </c>
      <c r="M48" s="513"/>
      <c r="N48" s="505">
        <f t="shared" si="4"/>
        <v>0</v>
      </c>
      <c r="O48" s="505">
        <f t="shared" si="5"/>
        <v>0</v>
      </c>
      <c r="P48" s="279"/>
      <c r="R48" s="244"/>
      <c r="S48" s="244"/>
      <c r="T48" s="244"/>
      <c r="U48" s="244"/>
    </row>
    <row r="49" spans="2:21">
      <c r="B49" s="145" t="str">
        <f t="shared" si="0"/>
        <v/>
      </c>
      <c r="C49" s="496">
        <f>IF(D11="","-",+C48+1)</f>
        <v>2046</v>
      </c>
      <c r="D49" s="509">
        <f>IF(F48+SUM(E$17:E48)=D$10,F48,D$10-SUM(E$17:E48))</f>
        <v>2540341.6294848886</v>
      </c>
      <c r="E49" s="510">
        <f t="shared" si="13"/>
        <v>595370.1470588235</v>
      </c>
      <c r="F49" s="511">
        <f t="shared" si="14"/>
        <v>1944971.482426065</v>
      </c>
      <c r="G49" s="512">
        <f t="shared" si="15"/>
        <v>834027.26338966715</v>
      </c>
      <c r="H49" s="478">
        <f t="shared" si="16"/>
        <v>834027.26338966715</v>
      </c>
      <c r="I49" s="501">
        <f t="shared" si="6"/>
        <v>0</v>
      </c>
      <c r="J49" s="501"/>
      <c r="K49" s="513"/>
      <c r="L49" s="505">
        <f t="shared" si="17"/>
        <v>0</v>
      </c>
      <c r="M49" s="513"/>
      <c r="N49" s="505">
        <f t="shared" si="4"/>
        <v>0</v>
      </c>
      <c r="O49" s="505">
        <f t="shared" si="5"/>
        <v>0</v>
      </c>
      <c r="P49" s="279"/>
      <c r="R49" s="244"/>
      <c r="S49" s="244"/>
      <c r="T49" s="244"/>
      <c r="U49" s="244"/>
    </row>
    <row r="50" spans="2:21">
      <c r="B50" s="145" t="str">
        <f t="shared" si="0"/>
        <v/>
      </c>
      <c r="C50" s="496">
        <f>IF(D11="","-",+C49+1)</f>
        <v>2047</v>
      </c>
      <c r="D50" s="509">
        <f>IF(F49+SUM(E$17:E49)=D$10,F49,D$10-SUM(E$17:E49))</f>
        <v>1944971.482426065</v>
      </c>
      <c r="E50" s="510">
        <f t="shared" si="13"/>
        <v>595370.1470588235</v>
      </c>
      <c r="F50" s="511">
        <f t="shared" si="14"/>
        <v>1349601.3353672414</v>
      </c>
      <c r="G50" s="512">
        <f t="shared" si="15"/>
        <v>770669.66988333897</v>
      </c>
      <c r="H50" s="478">
        <f t="shared" si="16"/>
        <v>770669.66988333897</v>
      </c>
      <c r="I50" s="501">
        <f t="shared" si="6"/>
        <v>0</v>
      </c>
      <c r="J50" s="501"/>
      <c r="K50" s="513"/>
      <c r="L50" s="505">
        <f t="shared" si="17"/>
        <v>0</v>
      </c>
      <c r="M50" s="513"/>
      <c r="N50" s="505">
        <f t="shared" si="4"/>
        <v>0</v>
      </c>
      <c r="O50" s="505">
        <f t="shared" si="5"/>
        <v>0</v>
      </c>
      <c r="P50" s="279"/>
      <c r="R50" s="244"/>
      <c r="S50" s="244"/>
      <c r="T50" s="244"/>
      <c r="U50" s="244"/>
    </row>
    <row r="51" spans="2:21">
      <c r="B51" s="145" t="str">
        <f t="shared" si="0"/>
        <v/>
      </c>
      <c r="C51" s="496">
        <f>IF(D11="","-",+C50+1)</f>
        <v>2048</v>
      </c>
      <c r="D51" s="509">
        <f>IF(F50+SUM(E$17:E50)=D$10,F50,D$10-SUM(E$17:E50))</f>
        <v>1349601.3353672414</v>
      </c>
      <c r="E51" s="510">
        <f t="shared" si="13"/>
        <v>595370.1470588235</v>
      </c>
      <c r="F51" s="511">
        <f t="shared" si="14"/>
        <v>754231.18830841791</v>
      </c>
      <c r="G51" s="512">
        <f t="shared" si="15"/>
        <v>707312.07637701067</v>
      </c>
      <c r="H51" s="478">
        <f t="shared" si="16"/>
        <v>707312.07637701067</v>
      </c>
      <c r="I51" s="501">
        <f t="shared" si="6"/>
        <v>0</v>
      </c>
      <c r="J51" s="501"/>
      <c r="K51" s="513"/>
      <c r="L51" s="505">
        <f t="shared" si="17"/>
        <v>0</v>
      </c>
      <c r="M51" s="513"/>
      <c r="N51" s="505">
        <f t="shared" si="4"/>
        <v>0</v>
      </c>
      <c r="O51" s="505">
        <f t="shared" si="5"/>
        <v>0</v>
      </c>
      <c r="P51" s="279"/>
      <c r="R51" s="244"/>
      <c r="S51" s="244"/>
      <c r="T51" s="244"/>
      <c r="U51" s="244"/>
    </row>
    <row r="52" spans="2:21">
      <c r="B52" s="145" t="str">
        <f t="shared" si="0"/>
        <v/>
      </c>
      <c r="C52" s="496">
        <f>IF(D11="","-",+C51+1)</f>
        <v>2049</v>
      </c>
      <c r="D52" s="509">
        <f>IF(F51+SUM(E$17:E51)=D$10,F51,D$10-SUM(E$17:E51))</f>
        <v>754231.18830841791</v>
      </c>
      <c r="E52" s="510">
        <f t="shared" si="13"/>
        <v>595370.1470588235</v>
      </c>
      <c r="F52" s="511">
        <f t="shared" si="14"/>
        <v>158861.04124959442</v>
      </c>
      <c r="G52" s="512">
        <f t="shared" si="15"/>
        <v>643954.48287068249</v>
      </c>
      <c r="H52" s="478">
        <f t="shared" si="16"/>
        <v>643954.48287068249</v>
      </c>
      <c r="I52" s="501">
        <f t="shared" si="6"/>
        <v>0</v>
      </c>
      <c r="J52" s="501"/>
      <c r="K52" s="513"/>
      <c r="L52" s="505">
        <f t="shared" si="17"/>
        <v>0</v>
      </c>
      <c r="M52" s="513"/>
      <c r="N52" s="505">
        <f t="shared" si="4"/>
        <v>0</v>
      </c>
      <c r="O52" s="505">
        <f t="shared" si="5"/>
        <v>0</v>
      </c>
      <c r="P52" s="279"/>
      <c r="R52" s="244"/>
      <c r="S52" s="244"/>
      <c r="T52" s="244"/>
      <c r="U52" s="244"/>
    </row>
    <row r="53" spans="2:21">
      <c r="B53" s="145" t="str">
        <f t="shared" si="0"/>
        <v/>
      </c>
      <c r="C53" s="496">
        <f>IF(D11="","-",+C52+1)</f>
        <v>2050</v>
      </c>
      <c r="D53" s="509">
        <f>IF(F52+SUM(E$17:E52)=D$10,F52,D$10-SUM(E$17:E52))</f>
        <v>158861.04124959442</v>
      </c>
      <c r="E53" s="510">
        <f t="shared" si="13"/>
        <v>158861.04124959442</v>
      </c>
      <c r="F53" s="511">
        <f t="shared" si="14"/>
        <v>0</v>
      </c>
      <c r="G53" s="512">
        <f t="shared" si="15"/>
        <v>167313.81077894184</v>
      </c>
      <c r="H53" s="478">
        <f t="shared" si="16"/>
        <v>167313.81077894184</v>
      </c>
      <c r="I53" s="501">
        <f t="shared" si="6"/>
        <v>0</v>
      </c>
      <c r="J53" s="501"/>
      <c r="K53" s="513"/>
      <c r="L53" s="505">
        <f t="shared" si="17"/>
        <v>0</v>
      </c>
      <c r="M53" s="513"/>
      <c r="N53" s="505">
        <f t="shared" si="4"/>
        <v>0</v>
      </c>
      <c r="O53" s="505">
        <f t="shared" si="5"/>
        <v>0</v>
      </c>
      <c r="P53" s="279"/>
      <c r="R53" s="244"/>
      <c r="S53" s="244"/>
      <c r="T53" s="244"/>
      <c r="U53" s="244"/>
    </row>
    <row r="54" spans="2:21">
      <c r="B54" s="145" t="str">
        <f t="shared" si="0"/>
        <v/>
      </c>
      <c r="C54" s="496">
        <f>IF(D11="","-",+C53+1)</f>
        <v>2051</v>
      </c>
      <c r="D54" s="509">
        <f>IF(F53+SUM(E$17:E53)=D$10,F53,D$10-SUM(E$17:E53))</f>
        <v>0</v>
      </c>
      <c r="E54" s="510">
        <f t="shared" si="13"/>
        <v>0</v>
      </c>
      <c r="F54" s="511">
        <f t="shared" si="14"/>
        <v>0</v>
      </c>
      <c r="G54" s="512">
        <f t="shared" si="15"/>
        <v>0</v>
      </c>
      <c r="H54" s="478">
        <f t="shared" si="16"/>
        <v>0</v>
      </c>
      <c r="I54" s="501">
        <f t="shared" si="6"/>
        <v>0</v>
      </c>
      <c r="J54" s="501"/>
      <c r="K54" s="513"/>
      <c r="L54" s="505">
        <f t="shared" si="17"/>
        <v>0</v>
      </c>
      <c r="M54" s="513"/>
      <c r="N54" s="505">
        <f t="shared" si="4"/>
        <v>0</v>
      </c>
      <c r="O54" s="505">
        <f t="shared" si="5"/>
        <v>0</v>
      </c>
      <c r="P54" s="279"/>
      <c r="R54" s="244"/>
      <c r="S54" s="244"/>
      <c r="T54" s="244"/>
      <c r="U54" s="244"/>
    </row>
    <row r="55" spans="2:21">
      <c r="B55" s="145" t="str">
        <f t="shared" si="0"/>
        <v/>
      </c>
      <c r="C55" s="496">
        <f>IF(D11="","-",+C54+1)</f>
        <v>2052</v>
      </c>
      <c r="D55" s="509">
        <f>IF(F54+SUM(E$17:E54)=D$10,F54,D$10-SUM(E$17:E54))</f>
        <v>0</v>
      </c>
      <c r="E55" s="510">
        <f t="shared" si="13"/>
        <v>0</v>
      </c>
      <c r="F55" s="511">
        <f t="shared" si="14"/>
        <v>0</v>
      </c>
      <c r="G55" s="512">
        <f t="shared" si="15"/>
        <v>0</v>
      </c>
      <c r="H55" s="478">
        <f t="shared" si="16"/>
        <v>0</v>
      </c>
      <c r="I55" s="501">
        <f t="shared" si="6"/>
        <v>0</v>
      </c>
      <c r="J55" s="501"/>
      <c r="K55" s="513"/>
      <c r="L55" s="505">
        <f t="shared" si="17"/>
        <v>0</v>
      </c>
      <c r="M55" s="513"/>
      <c r="N55" s="505">
        <f t="shared" si="4"/>
        <v>0</v>
      </c>
      <c r="O55" s="505">
        <f t="shared" si="5"/>
        <v>0</v>
      </c>
      <c r="P55" s="279"/>
      <c r="R55" s="244"/>
      <c r="S55" s="244"/>
      <c r="T55" s="244"/>
      <c r="U55" s="244"/>
    </row>
    <row r="56" spans="2:21">
      <c r="B56" s="145" t="str">
        <f t="shared" si="0"/>
        <v/>
      </c>
      <c r="C56" s="496">
        <f>IF(D11="","-",+C55+1)</f>
        <v>2053</v>
      </c>
      <c r="D56" s="509">
        <f>IF(F55+SUM(E$17:E55)=D$10,F55,D$10-SUM(E$17:E55))</f>
        <v>0</v>
      </c>
      <c r="E56" s="510">
        <f t="shared" si="13"/>
        <v>0</v>
      </c>
      <c r="F56" s="511">
        <f t="shared" si="14"/>
        <v>0</v>
      </c>
      <c r="G56" s="512">
        <f t="shared" si="15"/>
        <v>0</v>
      </c>
      <c r="H56" s="478">
        <f t="shared" si="16"/>
        <v>0</v>
      </c>
      <c r="I56" s="501">
        <f t="shared" si="6"/>
        <v>0</v>
      </c>
      <c r="J56" s="501"/>
      <c r="K56" s="513"/>
      <c r="L56" s="505">
        <f t="shared" si="17"/>
        <v>0</v>
      </c>
      <c r="M56" s="513"/>
      <c r="N56" s="505">
        <f t="shared" si="4"/>
        <v>0</v>
      </c>
      <c r="O56" s="505">
        <f t="shared" si="5"/>
        <v>0</v>
      </c>
      <c r="P56" s="279"/>
      <c r="R56" s="244"/>
      <c r="S56" s="244"/>
      <c r="T56" s="244"/>
      <c r="U56" s="244"/>
    </row>
    <row r="57" spans="2:21">
      <c r="B57" s="145" t="str">
        <f t="shared" si="0"/>
        <v/>
      </c>
      <c r="C57" s="496">
        <f>IF(D11="","-",+C56+1)</f>
        <v>2054</v>
      </c>
      <c r="D57" s="509">
        <f>IF(F56+SUM(E$17:E56)=D$10,F56,D$10-SUM(E$17:E56))</f>
        <v>0</v>
      </c>
      <c r="E57" s="510">
        <f t="shared" si="13"/>
        <v>0</v>
      </c>
      <c r="F57" s="511">
        <f t="shared" si="14"/>
        <v>0</v>
      </c>
      <c r="G57" s="512">
        <f t="shared" si="15"/>
        <v>0</v>
      </c>
      <c r="H57" s="478">
        <f t="shared" si="16"/>
        <v>0</v>
      </c>
      <c r="I57" s="501">
        <f t="shared" si="6"/>
        <v>0</v>
      </c>
      <c r="J57" s="501"/>
      <c r="K57" s="513"/>
      <c r="L57" s="505">
        <f t="shared" si="17"/>
        <v>0</v>
      </c>
      <c r="M57" s="513"/>
      <c r="N57" s="505">
        <f t="shared" si="4"/>
        <v>0</v>
      </c>
      <c r="O57" s="505">
        <f t="shared" si="5"/>
        <v>0</v>
      </c>
      <c r="P57" s="279"/>
      <c r="R57" s="244"/>
      <c r="S57" s="244"/>
      <c r="T57" s="244"/>
      <c r="U57" s="244"/>
    </row>
    <row r="58" spans="2:21">
      <c r="B58" s="145" t="str">
        <f t="shared" si="0"/>
        <v/>
      </c>
      <c r="C58" s="496">
        <f>IF(D11="","-",+C57+1)</f>
        <v>2055</v>
      </c>
      <c r="D58" s="509">
        <f>IF(F57+SUM(E$17:E57)=D$10,F57,D$10-SUM(E$17:E57))</f>
        <v>0</v>
      </c>
      <c r="E58" s="510">
        <f t="shared" si="13"/>
        <v>0</v>
      </c>
      <c r="F58" s="511">
        <f t="shared" si="14"/>
        <v>0</v>
      </c>
      <c r="G58" s="512">
        <f t="shared" si="15"/>
        <v>0</v>
      </c>
      <c r="H58" s="478">
        <f t="shared" si="16"/>
        <v>0</v>
      </c>
      <c r="I58" s="501">
        <f t="shared" si="6"/>
        <v>0</v>
      </c>
      <c r="J58" s="501"/>
      <c r="K58" s="513"/>
      <c r="L58" s="505">
        <f t="shared" si="17"/>
        <v>0</v>
      </c>
      <c r="M58" s="513"/>
      <c r="N58" s="505">
        <f t="shared" si="4"/>
        <v>0</v>
      </c>
      <c r="O58" s="505">
        <f t="shared" si="5"/>
        <v>0</v>
      </c>
      <c r="P58" s="279"/>
      <c r="R58" s="244"/>
      <c r="S58" s="244"/>
      <c r="T58" s="244"/>
      <c r="U58" s="244"/>
    </row>
    <row r="59" spans="2:21">
      <c r="B59" s="145" t="str">
        <f t="shared" si="0"/>
        <v/>
      </c>
      <c r="C59" s="496">
        <f>IF(D11="","-",+C58+1)</f>
        <v>2056</v>
      </c>
      <c r="D59" s="509">
        <f>IF(F58+SUM(E$17:E58)=D$10,F58,D$10-SUM(E$17:E58))</f>
        <v>0</v>
      </c>
      <c r="E59" s="510">
        <f t="shared" si="13"/>
        <v>0</v>
      </c>
      <c r="F59" s="511">
        <f t="shared" si="14"/>
        <v>0</v>
      </c>
      <c r="G59" s="512">
        <f t="shared" si="15"/>
        <v>0</v>
      </c>
      <c r="H59" s="478">
        <f t="shared" si="16"/>
        <v>0</v>
      </c>
      <c r="I59" s="501">
        <f t="shared" si="6"/>
        <v>0</v>
      </c>
      <c r="J59" s="501"/>
      <c r="K59" s="513"/>
      <c r="L59" s="505">
        <f t="shared" si="17"/>
        <v>0</v>
      </c>
      <c r="M59" s="513"/>
      <c r="N59" s="505">
        <f t="shared" si="4"/>
        <v>0</v>
      </c>
      <c r="O59" s="505">
        <f t="shared" si="5"/>
        <v>0</v>
      </c>
      <c r="P59" s="279"/>
      <c r="R59" s="244"/>
      <c r="S59" s="244"/>
      <c r="T59" s="244"/>
      <c r="U59" s="244"/>
    </row>
    <row r="60" spans="2:21">
      <c r="B60" s="145" t="str">
        <f t="shared" si="0"/>
        <v/>
      </c>
      <c r="C60" s="496">
        <f>IF(D11="","-",+C59+1)</f>
        <v>2057</v>
      </c>
      <c r="D60" s="509">
        <f>IF(F59+SUM(E$17:E59)=D$10,F59,D$10-SUM(E$17:E59))</f>
        <v>0</v>
      </c>
      <c r="E60" s="510">
        <f t="shared" si="13"/>
        <v>0</v>
      </c>
      <c r="F60" s="511">
        <f t="shared" si="14"/>
        <v>0</v>
      </c>
      <c r="G60" s="512">
        <f t="shared" si="15"/>
        <v>0</v>
      </c>
      <c r="H60" s="478">
        <f t="shared" si="16"/>
        <v>0</v>
      </c>
      <c r="I60" s="501">
        <f t="shared" si="6"/>
        <v>0</v>
      </c>
      <c r="J60" s="501"/>
      <c r="K60" s="513"/>
      <c r="L60" s="505">
        <f t="shared" si="17"/>
        <v>0</v>
      </c>
      <c r="M60" s="513"/>
      <c r="N60" s="505">
        <f t="shared" si="4"/>
        <v>0</v>
      </c>
      <c r="O60" s="505">
        <f t="shared" si="5"/>
        <v>0</v>
      </c>
      <c r="P60" s="279"/>
      <c r="R60" s="244"/>
      <c r="S60" s="244"/>
      <c r="T60" s="244"/>
      <c r="U60" s="244"/>
    </row>
    <row r="61" spans="2:21">
      <c r="B61" s="145" t="str">
        <f t="shared" si="0"/>
        <v/>
      </c>
      <c r="C61" s="496">
        <f>IF(D11="","-",+C60+1)</f>
        <v>2058</v>
      </c>
      <c r="D61" s="509">
        <f>IF(F60+SUM(E$17:E60)=D$10,F60,D$10-SUM(E$17:E60))</f>
        <v>0</v>
      </c>
      <c r="E61" s="510">
        <f t="shared" si="13"/>
        <v>0</v>
      </c>
      <c r="F61" s="511">
        <f t="shared" si="14"/>
        <v>0</v>
      </c>
      <c r="G61" s="512">
        <f t="shared" si="15"/>
        <v>0</v>
      </c>
      <c r="H61" s="478">
        <f t="shared" si="16"/>
        <v>0</v>
      </c>
      <c r="I61" s="501">
        <f t="shared" si="6"/>
        <v>0</v>
      </c>
      <c r="J61" s="501"/>
      <c r="K61" s="513"/>
      <c r="L61" s="505">
        <f t="shared" si="17"/>
        <v>0</v>
      </c>
      <c r="M61" s="513"/>
      <c r="N61" s="505">
        <f t="shared" si="4"/>
        <v>0</v>
      </c>
      <c r="O61" s="505">
        <f t="shared" si="5"/>
        <v>0</v>
      </c>
      <c r="P61" s="279"/>
      <c r="R61" s="244"/>
      <c r="S61" s="244"/>
      <c r="T61" s="244"/>
      <c r="U61" s="244"/>
    </row>
    <row r="62" spans="2:21">
      <c r="B62" s="145" t="str">
        <f t="shared" si="0"/>
        <v/>
      </c>
      <c r="C62" s="496">
        <f>IF(D11="","-",+C61+1)</f>
        <v>2059</v>
      </c>
      <c r="D62" s="509">
        <f>IF(F61+SUM(E$17:E61)=D$10,F61,D$10-SUM(E$17:E61))</f>
        <v>0</v>
      </c>
      <c r="E62" s="510">
        <f t="shared" si="13"/>
        <v>0</v>
      </c>
      <c r="F62" s="511">
        <f t="shared" si="14"/>
        <v>0</v>
      </c>
      <c r="G62" s="512">
        <f t="shared" si="15"/>
        <v>0</v>
      </c>
      <c r="H62" s="478">
        <f t="shared" si="16"/>
        <v>0</v>
      </c>
      <c r="I62" s="501">
        <f t="shared" si="6"/>
        <v>0</v>
      </c>
      <c r="J62" s="501"/>
      <c r="K62" s="513"/>
      <c r="L62" s="505">
        <f t="shared" si="17"/>
        <v>0</v>
      </c>
      <c r="M62" s="513"/>
      <c r="N62" s="505">
        <f t="shared" si="4"/>
        <v>0</v>
      </c>
      <c r="O62" s="505">
        <f t="shared" si="5"/>
        <v>0</v>
      </c>
      <c r="P62" s="279"/>
      <c r="R62" s="244"/>
      <c r="S62" s="244"/>
      <c r="T62" s="244"/>
      <c r="U62" s="244"/>
    </row>
    <row r="63" spans="2:21">
      <c r="B63" s="145" t="str">
        <f t="shared" si="0"/>
        <v/>
      </c>
      <c r="C63" s="496">
        <f>IF(D11="","-",+C62+1)</f>
        <v>2060</v>
      </c>
      <c r="D63" s="509">
        <f>IF(F62+SUM(E$17:E62)=D$10,F62,D$10-SUM(E$17:E62))</f>
        <v>0</v>
      </c>
      <c r="E63" s="510">
        <f t="shared" si="13"/>
        <v>0</v>
      </c>
      <c r="F63" s="511">
        <f t="shared" si="14"/>
        <v>0</v>
      </c>
      <c r="G63" s="512">
        <f t="shared" si="15"/>
        <v>0</v>
      </c>
      <c r="H63" s="478">
        <f t="shared" si="16"/>
        <v>0</v>
      </c>
      <c r="I63" s="501">
        <f t="shared" si="6"/>
        <v>0</v>
      </c>
      <c r="J63" s="501"/>
      <c r="K63" s="513"/>
      <c r="L63" s="505">
        <f t="shared" si="17"/>
        <v>0</v>
      </c>
      <c r="M63" s="513"/>
      <c r="N63" s="505">
        <f t="shared" si="4"/>
        <v>0</v>
      </c>
      <c r="O63" s="505">
        <f t="shared" si="5"/>
        <v>0</v>
      </c>
      <c r="P63" s="279"/>
      <c r="R63" s="244"/>
      <c r="S63" s="244"/>
      <c r="T63" s="244"/>
      <c r="U63" s="244"/>
    </row>
    <row r="64" spans="2:21">
      <c r="B64" s="145" t="str">
        <f t="shared" si="0"/>
        <v/>
      </c>
      <c r="C64" s="496">
        <f>IF(D11="","-",+C63+1)</f>
        <v>2061</v>
      </c>
      <c r="D64" s="509">
        <f>IF(F63+SUM(E$17:E63)=D$10,F63,D$10-SUM(E$17:E63))</f>
        <v>0</v>
      </c>
      <c r="E64" s="510">
        <f t="shared" si="13"/>
        <v>0</v>
      </c>
      <c r="F64" s="511">
        <f t="shared" si="14"/>
        <v>0</v>
      </c>
      <c r="G64" s="512">
        <f t="shared" si="15"/>
        <v>0</v>
      </c>
      <c r="H64" s="478">
        <f t="shared" si="16"/>
        <v>0</v>
      </c>
      <c r="I64" s="501">
        <f t="shared" si="6"/>
        <v>0</v>
      </c>
      <c r="J64" s="501"/>
      <c r="K64" s="513"/>
      <c r="L64" s="505">
        <f t="shared" si="17"/>
        <v>0</v>
      </c>
      <c r="M64" s="513"/>
      <c r="N64" s="505">
        <f t="shared" si="4"/>
        <v>0</v>
      </c>
      <c r="O64" s="505">
        <f t="shared" si="5"/>
        <v>0</v>
      </c>
      <c r="P64" s="279"/>
      <c r="R64" s="244"/>
      <c r="S64" s="244"/>
      <c r="T64" s="244"/>
      <c r="U64" s="244"/>
    </row>
    <row r="65" spans="2:21">
      <c r="B65" s="145" t="str">
        <f t="shared" si="0"/>
        <v/>
      </c>
      <c r="C65" s="496">
        <f>IF(D11="","-",+C64+1)</f>
        <v>2062</v>
      </c>
      <c r="D65" s="509">
        <f>IF(F64+SUM(E$17:E64)=D$10,F64,D$10-SUM(E$17:E64))</f>
        <v>0</v>
      </c>
      <c r="E65" s="510">
        <f t="shared" si="13"/>
        <v>0</v>
      </c>
      <c r="F65" s="511">
        <f t="shared" si="14"/>
        <v>0</v>
      </c>
      <c r="G65" s="512">
        <f t="shared" si="15"/>
        <v>0</v>
      </c>
      <c r="H65" s="478">
        <f t="shared" si="16"/>
        <v>0</v>
      </c>
      <c r="I65" s="501">
        <f t="shared" si="6"/>
        <v>0</v>
      </c>
      <c r="J65" s="501"/>
      <c r="K65" s="513"/>
      <c r="L65" s="505">
        <f t="shared" si="17"/>
        <v>0</v>
      </c>
      <c r="M65" s="513"/>
      <c r="N65" s="505">
        <f t="shared" si="4"/>
        <v>0</v>
      </c>
      <c r="O65" s="505">
        <f t="shared" si="5"/>
        <v>0</v>
      </c>
      <c r="P65" s="279"/>
      <c r="R65" s="244"/>
      <c r="S65" s="244"/>
      <c r="T65" s="244"/>
      <c r="U65" s="244"/>
    </row>
    <row r="66" spans="2:21">
      <c r="B66" s="145" t="str">
        <f t="shared" si="0"/>
        <v/>
      </c>
      <c r="C66" s="496">
        <f>IF(D11="","-",+C65+1)</f>
        <v>2063</v>
      </c>
      <c r="D66" s="509">
        <f>IF(F65+SUM(E$17:E65)=D$10,F65,D$10-SUM(E$17:E65))</f>
        <v>0</v>
      </c>
      <c r="E66" s="510">
        <f t="shared" si="13"/>
        <v>0</v>
      </c>
      <c r="F66" s="511">
        <f t="shared" si="14"/>
        <v>0</v>
      </c>
      <c r="G66" s="512">
        <f t="shared" si="15"/>
        <v>0</v>
      </c>
      <c r="H66" s="478">
        <f t="shared" si="16"/>
        <v>0</v>
      </c>
      <c r="I66" s="501">
        <f t="shared" si="6"/>
        <v>0</v>
      </c>
      <c r="J66" s="501"/>
      <c r="K66" s="513"/>
      <c r="L66" s="505">
        <f t="shared" si="17"/>
        <v>0</v>
      </c>
      <c r="M66" s="513"/>
      <c r="N66" s="505">
        <f t="shared" si="4"/>
        <v>0</v>
      </c>
      <c r="O66" s="505">
        <f t="shared" si="5"/>
        <v>0</v>
      </c>
      <c r="P66" s="279"/>
      <c r="R66" s="244"/>
      <c r="S66" s="244"/>
      <c r="T66" s="244"/>
      <c r="U66" s="244"/>
    </row>
    <row r="67" spans="2:21">
      <c r="B67" s="145" t="str">
        <f t="shared" si="0"/>
        <v/>
      </c>
      <c r="C67" s="496">
        <f>IF(D11="","-",+C66+1)</f>
        <v>2064</v>
      </c>
      <c r="D67" s="509">
        <f>IF(F66+SUM(E$17:E66)=D$10,F66,D$10-SUM(E$17:E66))</f>
        <v>0</v>
      </c>
      <c r="E67" s="510">
        <f t="shared" si="13"/>
        <v>0</v>
      </c>
      <c r="F67" s="511">
        <f t="shared" si="14"/>
        <v>0</v>
      </c>
      <c r="G67" s="512">
        <f t="shared" si="15"/>
        <v>0</v>
      </c>
      <c r="H67" s="478">
        <f t="shared" si="16"/>
        <v>0</v>
      </c>
      <c r="I67" s="501">
        <f t="shared" si="6"/>
        <v>0</v>
      </c>
      <c r="J67" s="501"/>
      <c r="K67" s="513"/>
      <c r="L67" s="505">
        <f t="shared" si="17"/>
        <v>0</v>
      </c>
      <c r="M67" s="513"/>
      <c r="N67" s="505">
        <f t="shared" si="4"/>
        <v>0</v>
      </c>
      <c r="O67" s="505">
        <f t="shared" si="5"/>
        <v>0</v>
      </c>
      <c r="P67" s="279"/>
      <c r="R67" s="244"/>
      <c r="S67" s="244"/>
      <c r="T67" s="244"/>
      <c r="U67" s="244"/>
    </row>
    <row r="68" spans="2:21">
      <c r="B68" s="145" t="str">
        <f t="shared" si="0"/>
        <v/>
      </c>
      <c r="C68" s="496">
        <f>IF(D11="","-",+C67+1)</f>
        <v>2065</v>
      </c>
      <c r="D68" s="509">
        <f>IF(F67+SUM(E$17:E67)=D$10,F67,D$10-SUM(E$17:E67))</f>
        <v>0</v>
      </c>
      <c r="E68" s="510">
        <f t="shared" si="13"/>
        <v>0</v>
      </c>
      <c r="F68" s="511">
        <f t="shared" si="14"/>
        <v>0</v>
      </c>
      <c r="G68" s="512">
        <f t="shared" si="15"/>
        <v>0</v>
      </c>
      <c r="H68" s="478">
        <f t="shared" si="16"/>
        <v>0</v>
      </c>
      <c r="I68" s="501">
        <f t="shared" si="6"/>
        <v>0</v>
      </c>
      <c r="J68" s="501"/>
      <c r="K68" s="513"/>
      <c r="L68" s="505">
        <f t="shared" si="17"/>
        <v>0</v>
      </c>
      <c r="M68" s="513"/>
      <c r="N68" s="505">
        <f t="shared" si="4"/>
        <v>0</v>
      </c>
      <c r="O68" s="505">
        <f t="shared" si="5"/>
        <v>0</v>
      </c>
      <c r="P68" s="279"/>
      <c r="R68" s="244"/>
      <c r="S68" s="244"/>
      <c r="T68" s="244"/>
      <c r="U68" s="244"/>
    </row>
    <row r="69" spans="2:21">
      <c r="B69" s="145" t="str">
        <f t="shared" si="0"/>
        <v/>
      </c>
      <c r="C69" s="496">
        <f>IF(D11="","-",+C68+1)</f>
        <v>2066</v>
      </c>
      <c r="D69" s="509">
        <f>IF(F68+SUM(E$17:E68)=D$10,F68,D$10-SUM(E$17:E68))</f>
        <v>0</v>
      </c>
      <c r="E69" s="510">
        <f t="shared" si="13"/>
        <v>0</v>
      </c>
      <c r="F69" s="511">
        <f t="shared" si="14"/>
        <v>0</v>
      </c>
      <c r="G69" s="512">
        <f t="shared" si="15"/>
        <v>0</v>
      </c>
      <c r="H69" s="478">
        <f t="shared" si="16"/>
        <v>0</v>
      </c>
      <c r="I69" s="501">
        <f t="shared" si="6"/>
        <v>0</v>
      </c>
      <c r="J69" s="501"/>
      <c r="K69" s="513"/>
      <c r="L69" s="505">
        <f t="shared" si="17"/>
        <v>0</v>
      </c>
      <c r="M69" s="513"/>
      <c r="N69" s="505">
        <f t="shared" si="4"/>
        <v>0</v>
      </c>
      <c r="O69" s="505">
        <f t="shared" si="5"/>
        <v>0</v>
      </c>
      <c r="P69" s="279"/>
      <c r="R69" s="244"/>
      <c r="S69" s="244"/>
      <c r="T69" s="244"/>
      <c r="U69" s="244"/>
    </row>
    <row r="70" spans="2:21">
      <c r="B70" s="145" t="str">
        <f t="shared" si="0"/>
        <v/>
      </c>
      <c r="C70" s="496">
        <f>IF(D11="","-",+C69+1)</f>
        <v>2067</v>
      </c>
      <c r="D70" s="509">
        <f>IF(F69+SUM(E$17:E69)=D$10,F69,D$10-SUM(E$17:E69))</f>
        <v>0</v>
      </c>
      <c r="E70" s="510">
        <f t="shared" si="13"/>
        <v>0</v>
      </c>
      <c r="F70" s="511">
        <f t="shared" si="14"/>
        <v>0</v>
      </c>
      <c r="G70" s="512">
        <f t="shared" si="15"/>
        <v>0</v>
      </c>
      <c r="H70" s="478">
        <f t="shared" si="16"/>
        <v>0</v>
      </c>
      <c r="I70" s="501">
        <f t="shared" si="6"/>
        <v>0</v>
      </c>
      <c r="J70" s="501"/>
      <c r="K70" s="513"/>
      <c r="L70" s="505">
        <f t="shared" si="17"/>
        <v>0</v>
      </c>
      <c r="M70" s="513"/>
      <c r="N70" s="505">
        <f t="shared" si="4"/>
        <v>0</v>
      </c>
      <c r="O70" s="505">
        <f t="shared" si="5"/>
        <v>0</v>
      </c>
      <c r="P70" s="279"/>
      <c r="R70" s="244"/>
      <c r="S70" s="244"/>
      <c r="T70" s="244"/>
      <c r="U70" s="244"/>
    </row>
    <row r="71" spans="2:21">
      <c r="B71" s="145" t="str">
        <f t="shared" si="0"/>
        <v/>
      </c>
      <c r="C71" s="496">
        <f>IF(D11="","-",+C70+1)</f>
        <v>2068</v>
      </c>
      <c r="D71" s="509">
        <f>IF(F70+SUM(E$17:E70)=D$10,F70,D$10-SUM(E$17:E70))</f>
        <v>0</v>
      </c>
      <c r="E71" s="510">
        <f t="shared" si="13"/>
        <v>0</v>
      </c>
      <c r="F71" s="511">
        <f t="shared" si="14"/>
        <v>0</v>
      </c>
      <c r="G71" s="512">
        <f t="shared" si="15"/>
        <v>0</v>
      </c>
      <c r="H71" s="478">
        <f t="shared" si="16"/>
        <v>0</v>
      </c>
      <c r="I71" s="501">
        <f t="shared" si="6"/>
        <v>0</v>
      </c>
      <c r="J71" s="501"/>
      <c r="K71" s="513"/>
      <c r="L71" s="505">
        <f t="shared" si="17"/>
        <v>0</v>
      </c>
      <c r="M71" s="513"/>
      <c r="N71" s="505">
        <f t="shared" si="4"/>
        <v>0</v>
      </c>
      <c r="O71" s="505">
        <f t="shared" si="5"/>
        <v>0</v>
      </c>
      <c r="P71" s="279"/>
      <c r="R71" s="244"/>
      <c r="S71" s="244"/>
      <c r="T71" s="244"/>
      <c r="U71" s="244"/>
    </row>
    <row r="72" spans="2:21">
      <c r="B72" s="145" t="str">
        <f t="shared" si="0"/>
        <v/>
      </c>
      <c r="C72" s="496">
        <f>IF(D11="","-",+C71+1)</f>
        <v>2069</v>
      </c>
      <c r="D72" s="509">
        <f>IF(F71+SUM(E$17:E71)=D$10,F71,D$10-SUM(E$17:E71))</f>
        <v>0</v>
      </c>
      <c r="E72" s="510">
        <f t="shared" si="13"/>
        <v>0</v>
      </c>
      <c r="F72" s="511">
        <f t="shared" si="14"/>
        <v>0</v>
      </c>
      <c r="G72" s="512">
        <f t="shared" si="15"/>
        <v>0</v>
      </c>
      <c r="H72" s="478">
        <f t="shared" si="16"/>
        <v>0</v>
      </c>
      <c r="I72" s="501">
        <f t="shared" si="6"/>
        <v>0</v>
      </c>
      <c r="J72" s="501"/>
      <c r="K72" s="513"/>
      <c r="L72" s="505">
        <f t="shared" si="17"/>
        <v>0</v>
      </c>
      <c r="M72" s="513"/>
      <c r="N72" s="505">
        <f t="shared" si="4"/>
        <v>0</v>
      </c>
      <c r="O72" s="505">
        <f t="shared" si="5"/>
        <v>0</v>
      </c>
      <c r="P72" s="279"/>
      <c r="R72" s="244"/>
      <c r="S72" s="244"/>
      <c r="T72" s="244"/>
      <c r="U72" s="244"/>
    </row>
    <row r="73" spans="2:21" ht="13.5" thickBot="1">
      <c r="B73" s="145" t="str">
        <f t="shared" si="0"/>
        <v/>
      </c>
      <c r="C73" s="525">
        <f>IF(D11="","-",+C72+1)</f>
        <v>2070</v>
      </c>
      <c r="D73" s="526">
        <f>IF(F72+SUM(E$17:E72)=D$10,F72,D$10-SUM(E$17:E72))</f>
        <v>0</v>
      </c>
      <c r="E73" s="527">
        <f t="shared" si="13"/>
        <v>0</v>
      </c>
      <c r="F73" s="528">
        <f t="shared" si="14"/>
        <v>0</v>
      </c>
      <c r="G73" s="528">
        <f t="shared" si="15"/>
        <v>0</v>
      </c>
      <c r="H73" s="528">
        <f t="shared" si="16"/>
        <v>0</v>
      </c>
      <c r="I73" s="530">
        <f t="shared" si="6"/>
        <v>0</v>
      </c>
      <c r="J73" s="501"/>
      <c r="K73" s="531"/>
      <c r="L73" s="532">
        <f t="shared" si="17"/>
        <v>0</v>
      </c>
      <c r="M73" s="531"/>
      <c r="N73" s="532">
        <f t="shared" si="4"/>
        <v>0</v>
      </c>
      <c r="O73" s="532">
        <f t="shared" si="5"/>
        <v>0</v>
      </c>
      <c r="P73" s="279"/>
      <c r="R73" s="244"/>
      <c r="S73" s="244"/>
      <c r="T73" s="244"/>
      <c r="U73" s="244"/>
    </row>
    <row r="74" spans="2:21">
      <c r="C74" s="350" t="s">
        <v>75</v>
      </c>
      <c r="D74" s="295"/>
      <c r="E74" s="295">
        <f>SUM(E17:E73)</f>
        <v>20242584.999999993</v>
      </c>
      <c r="F74" s="295"/>
      <c r="G74" s="295">
        <f>SUM(G17:G73)</f>
        <v>60123481.64316538</v>
      </c>
      <c r="H74" s="295">
        <f>SUM(H17:H73)</f>
        <v>60123481.64316538</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11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2497735.0197140798</v>
      </c>
      <c r="N88" s="545">
        <f>IF(J93&lt;D11,0,VLOOKUP(J93,C17:O73,11))</f>
        <v>2497735.0197140798</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2776210.8124179048</v>
      </c>
      <c r="N89" s="549">
        <f>IF(J93&lt;D11,0,VLOOKUP(J93,C100:P155,7))</f>
        <v>2776210.8124179048</v>
      </c>
      <c r="O89" s="550">
        <f>+N89-M89</f>
        <v>0</v>
      </c>
      <c r="P89" s="244"/>
      <c r="Q89" s="244"/>
      <c r="R89" s="244"/>
      <c r="S89" s="244"/>
      <c r="T89" s="244"/>
      <c r="U89" s="244"/>
    </row>
    <row r="90" spans="1:21" ht="13.5" thickBot="1">
      <c r="C90" s="455" t="s">
        <v>82</v>
      </c>
      <c r="D90" s="551" t="str">
        <f>+D7</f>
        <v>Grady Customer Connection</v>
      </c>
      <c r="E90" s="244"/>
      <c r="F90" s="244"/>
      <c r="G90" s="244"/>
      <c r="H90" s="244"/>
      <c r="I90" s="326"/>
      <c r="J90" s="326"/>
      <c r="K90" s="552"/>
      <c r="L90" s="553" t="s">
        <v>135</v>
      </c>
      <c r="M90" s="554">
        <f>+M89-M88</f>
        <v>278475.79270382505</v>
      </c>
      <c r="N90" s="554">
        <f>+N89-N88</f>
        <v>278475.79270382505</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TP2013002</v>
      </c>
      <c r="E92" s="559"/>
      <c r="F92" s="559"/>
      <c r="G92" s="559"/>
      <c r="H92" s="559"/>
      <c r="I92" s="559"/>
      <c r="J92" s="559"/>
      <c r="K92" s="561"/>
      <c r="P92" s="469"/>
      <c r="Q92" s="244"/>
      <c r="R92" s="244"/>
      <c r="S92" s="244"/>
      <c r="T92" s="244"/>
      <c r="U92" s="244"/>
    </row>
    <row r="93" spans="1:21">
      <c r="C93" s="473" t="s">
        <v>49</v>
      </c>
      <c r="D93" s="623">
        <v>20242585</v>
      </c>
      <c r="E93" s="249" t="s">
        <v>84</v>
      </c>
      <c r="H93" s="409"/>
      <c r="I93" s="409"/>
      <c r="J93" s="472">
        <f>+'OKT.WS.G.BPU.ATRR.True-up'!M16</f>
        <v>2021</v>
      </c>
      <c r="K93" s="468"/>
      <c r="L93" s="295" t="s">
        <v>85</v>
      </c>
      <c r="P93" s="279"/>
      <c r="Q93" s="244"/>
      <c r="R93" s="244"/>
      <c r="S93" s="244"/>
      <c r="T93" s="244"/>
      <c r="U93" s="244"/>
    </row>
    <row r="94" spans="1:21">
      <c r="C94" s="473" t="s">
        <v>52</v>
      </c>
      <c r="D94" s="562">
        <f>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11</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809703.4</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2014</v>
      </c>
      <c r="D100" s="350"/>
      <c r="E100" s="512"/>
      <c r="F100" s="511"/>
      <c r="G100" s="606"/>
      <c r="H100" s="606"/>
      <c r="I100" s="606"/>
      <c r="J100" s="505"/>
      <c r="K100" s="505"/>
      <c r="L100" s="502"/>
      <c r="M100" s="503">
        <f t="shared" ref="M100:M131" si="18">IF(L100&lt;&gt;0,+H100-L100,0)</f>
        <v>0</v>
      </c>
      <c r="N100" s="502"/>
      <c r="O100" s="504">
        <f t="shared" ref="O100:O131" si="19">IF(N100&lt;&gt;0,+I100-N100,0)</f>
        <v>0</v>
      </c>
      <c r="P100" s="504">
        <f t="shared" ref="P100:P131" si="20">+O100-M100</f>
        <v>0</v>
      </c>
      <c r="Q100" s="244"/>
      <c r="R100" s="244"/>
      <c r="S100" s="244"/>
      <c r="T100" s="244"/>
      <c r="U100" s="244"/>
    </row>
    <row r="101" spans="1:21">
      <c r="B101" s="145" t="str">
        <f t="shared" ref="B101:B155" si="21">IF(D101=F100,"","IU")</f>
        <v>IU</v>
      </c>
      <c r="C101" s="496">
        <f>IF(D94="","-",+C100+1)</f>
        <v>2015</v>
      </c>
      <c r="D101" s="497">
        <v>19016226.275360011</v>
      </c>
      <c r="E101" s="499">
        <v>416545.33333333331</v>
      </c>
      <c r="F101" s="506">
        <v>18599680.942026678</v>
      </c>
      <c r="G101" s="506">
        <v>18807953.608693346</v>
      </c>
      <c r="H101" s="499">
        <v>2510424.0615898012</v>
      </c>
      <c r="I101" s="500">
        <v>2510424.0615898012</v>
      </c>
      <c r="J101" s="505">
        <v>0</v>
      </c>
      <c r="K101" s="505"/>
      <c r="L101" s="507">
        <f t="shared" ref="L101:L106" si="22">H101</f>
        <v>2510424.0615898012</v>
      </c>
      <c r="M101" s="505">
        <f t="shared" ref="M101:M106" si="23">IF(L101&lt;&gt;0,+H101-L101,0)</f>
        <v>0</v>
      </c>
      <c r="N101" s="507">
        <f t="shared" ref="N101:N106" si="24">I101</f>
        <v>2510424.0615898012</v>
      </c>
      <c r="O101" s="505">
        <f t="shared" si="19"/>
        <v>0</v>
      </c>
      <c r="P101" s="505">
        <f t="shared" si="20"/>
        <v>0</v>
      </c>
      <c r="Q101" s="244"/>
      <c r="R101" s="244"/>
      <c r="S101" s="244"/>
      <c r="T101" s="244"/>
      <c r="U101" s="244"/>
    </row>
    <row r="102" spans="1:21">
      <c r="B102" s="145" t="str">
        <f t="shared" si="21"/>
        <v>IU</v>
      </c>
      <c r="C102" s="496">
        <f>IF(D94="","-",+C101+1)</f>
        <v>2016</v>
      </c>
      <c r="D102" s="497">
        <v>19825461.666666668</v>
      </c>
      <c r="E102" s="499">
        <v>396902.09803921566</v>
      </c>
      <c r="F102" s="506">
        <v>19428559.568627451</v>
      </c>
      <c r="G102" s="506">
        <v>19627010.617647059</v>
      </c>
      <c r="H102" s="499">
        <v>2523870.6286029778</v>
      </c>
      <c r="I102" s="500">
        <v>2523870.6286029778</v>
      </c>
      <c r="J102" s="505">
        <f>+I102-H102</f>
        <v>0</v>
      </c>
      <c r="K102" s="505"/>
      <c r="L102" s="507">
        <f t="shared" si="22"/>
        <v>2523870.6286029778</v>
      </c>
      <c r="M102" s="505">
        <f t="shared" si="23"/>
        <v>0</v>
      </c>
      <c r="N102" s="507">
        <f t="shared" si="24"/>
        <v>2523870.6286029778</v>
      </c>
      <c r="O102" s="505">
        <f>IF(N102&lt;&gt;0,+I102-N102,0)</f>
        <v>0</v>
      </c>
      <c r="P102" s="505">
        <f>+O102-M102</f>
        <v>0</v>
      </c>
      <c r="Q102" s="244"/>
      <c r="R102" s="244"/>
      <c r="S102" s="244"/>
      <c r="T102" s="244"/>
      <c r="U102" s="244"/>
    </row>
    <row r="103" spans="1:21">
      <c r="B103" s="145" t="str">
        <f t="shared" si="21"/>
        <v>IU</v>
      </c>
      <c r="C103" s="496">
        <f>IF(D94="","-",+C102+1)</f>
        <v>2017</v>
      </c>
      <c r="D103" s="497">
        <v>19429137.568627451</v>
      </c>
      <c r="E103" s="499">
        <v>506064.625</v>
      </c>
      <c r="F103" s="506">
        <v>18923072.943627451</v>
      </c>
      <c r="G103" s="506">
        <v>19176105.256127451</v>
      </c>
      <c r="H103" s="499">
        <v>2756109.5074390932</v>
      </c>
      <c r="I103" s="500">
        <v>2756109.5074390932</v>
      </c>
      <c r="J103" s="505">
        <v>0</v>
      </c>
      <c r="K103" s="505"/>
      <c r="L103" s="507">
        <f t="shared" si="22"/>
        <v>2756109.5074390932</v>
      </c>
      <c r="M103" s="505">
        <f t="shared" si="23"/>
        <v>0</v>
      </c>
      <c r="N103" s="507">
        <f t="shared" si="24"/>
        <v>2756109.5074390932</v>
      </c>
      <c r="O103" s="505">
        <f>IF(N103&lt;&gt;0,+I103-N103,0)</f>
        <v>0</v>
      </c>
      <c r="P103" s="505">
        <f>+O103-M103</f>
        <v>0</v>
      </c>
      <c r="Q103" s="244"/>
      <c r="R103" s="244"/>
      <c r="S103" s="244"/>
      <c r="T103" s="244"/>
      <c r="U103" s="244"/>
    </row>
    <row r="104" spans="1:21">
      <c r="B104" s="145" t="str">
        <f t="shared" si="21"/>
        <v/>
      </c>
      <c r="C104" s="496">
        <f>IF(D94="","-",+C103+1)</f>
        <v>2018</v>
      </c>
      <c r="D104" s="497">
        <v>18923072.943627451</v>
      </c>
      <c r="E104" s="499">
        <v>562294.02777777775</v>
      </c>
      <c r="F104" s="506">
        <v>18360778.915849674</v>
      </c>
      <c r="G104" s="506">
        <v>18641925.929738563</v>
      </c>
      <c r="H104" s="499">
        <v>2530181.3848446766</v>
      </c>
      <c r="I104" s="500">
        <v>2530181.3848446766</v>
      </c>
      <c r="J104" s="505">
        <f t="shared" ref="J104:J155" si="25">+I104-H104</f>
        <v>0</v>
      </c>
      <c r="K104" s="505"/>
      <c r="L104" s="507">
        <f t="shared" si="22"/>
        <v>2530181.3848446766</v>
      </c>
      <c r="M104" s="505">
        <f t="shared" si="23"/>
        <v>0</v>
      </c>
      <c r="N104" s="507">
        <f t="shared" si="24"/>
        <v>2530181.3848446766</v>
      </c>
      <c r="O104" s="505">
        <f>IF(N104&lt;&gt;0,+I104-N104,0)</f>
        <v>0</v>
      </c>
      <c r="P104" s="505">
        <f>+O104-M104</f>
        <v>0</v>
      </c>
      <c r="Q104" s="244"/>
      <c r="R104" s="244"/>
      <c r="S104" s="244"/>
      <c r="T104" s="244"/>
      <c r="U104" s="244"/>
    </row>
    <row r="105" spans="1:21">
      <c r="B105" s="145" t="str">
        <f t="shared" si="21"/>
        <v/>
      </c>
      <c r="C105" s="496">
        <f>IF(D94="","-",+C104+1)</f>
        <v>2019</v>
      </c>
      <c r="D105" s="497">
        <v>18360778.915849674</v>
      </c>
      <c r="E105" s="499">
        <v>562294.02777777775</v>
      </c>
      <c r="F105" s="506">
        <v>17798484.888071898</v>
      </c>
      <c r="G105" s="506">
        <v>18079631.901960786</v>
      </c>
      <c r="H105" s="499">
        <v>2470824.2501586666</v>
      </c>
      <c r="I105" s="500">
        <v>2470824.2501586666</v>
      </c>
      <c r="J105" s="505">
        <f t="shared" si="25"/>
        <v>0</v>
      </c>
      <c r="K105" s="505"/>
      <c r="L105" s="507">
        <f t="shared" si="22"/>
        <v>2470824.2501586666</v>
      </c>
      <c r="M105" s="505">
        <f t="shared" si="23"/>
        <v>0</v>
      </c>
      <c r="N105" s="507">
        <f t="shared" si="24"/>
        <v>2470824.2501586666</v>
      </c>
      <c r="O105" s="505">
        <f t="shared" si="19"/>
        <v>0</v>
      </c>
      <c r="P105" s="505">
        <f t="shared" si="20"/>
        <v>0</v>
      </c>
      <c r="Q105" s="244"/>
      <c r="R105" s="244"/>
      <c r="S105" s="244"/>
      <c r="T105" s="244"/>
      <c r="U105" s="244"/>
    </row>
    <row r="106" spans="1:21">
      <c r="B106" s="145" t="str">
        <f t="shared" si="21"/>
        <v/>
      </c>
      <c r="C106" s="496">
        <f>IF(D94="","-",+C105+1)</f>
        <v>2020</v>
      </c>
      <c r="D106" s="497">
        <v>17798484.888071898</v>
      </c>
      <c r="E106" s="499">
        <v>722949.46428571432</v>
      </c>
      <c r="F106" s="506">
        <v>17075535.423786186</v>
      </c>
      <c r="G106" s="506">
        <v>17437010.155929044</v>
      </c>
      <c r="H106" s="499">
        <v>2578482.7265587896</v>
      </c>
      <c r="I106" s="500">
        <v>2578482.7265587896</v>
      </c>
      <c r="J106" s="505">
        <f t="shared" si="25"/>
        <v>0</v>
      </c>
      <c r="K106" s="505"/>
      <c r="L106" s="507">
        <f t="shared" si="22"/>
        <v>2578482.7265587896</v>
      </c>
      <c r="M106" s="505">
        <f t="shared" si="23"/>
        <v>0</v>
      </c>
      <c r="N106" s="507">
        <f t="shared" si="24"/>
        <v>2578482.7265587896</v>
      </c>
      <c r="O106" s="505">
        <f t="shared" si="19"/>
        <v>0</v>
      </c>
      <c r="P106" s="505">
        <f t="shared" si="20"/>
        <v>0</v>
      </c>
      <c r="Q106" s="244"/>
      <c r="R106" s="244"/>
      <c r="S106" s="244"/>
      <c r="T106" s="244"/>
      <c r="U106" s="244"/>
    </row>
    <row r="107" spans="1:21">
      <c r="B107" s="145" t="str">
        <f t="shared" si="21"/>
        <v/>
      </c>
      <c r="C107" s="496">
        <f>IF(D94="","-",+C106+1)</f>
        <v>2021</v>
      </c>
      <c r="D107" s="350">
        <f>IF(F106+SUM(E$100:E106)=D$93,F106,D$93-SUM(E$100:E106))</f>
        <v>17075535.423786186</v>
      </c>
      <c r="E107" s="629">
        <f t="shared" ref="E107:E155" si="26">IF(+$J$97&lt;F106,$J$97,D107)</f>
        <v>809703.4</v>
      </c>
      <c r="F107" s="511">
        <f t="shared" ref="F107:F155" si="27">+D107-E107</f>
        <v>16265832.023786185</v>
      </c>
      <c r="G107" s="511">
        <f t="shared" ref="G107:G155" si="28">+(F107+D107)/2</f>
        <v>16670683.723786186</v>
      </c>
      <c r="H107" s="646">
        <f t="shared" ref="H107:H155" si="29">(D107+F107)/2*J$95+E107</f>
        <v>2776210.8124179048</v>
      </c>
      <c r="I107" s="630">
        <f t="shared" ref="I107:I155" si="30">+J$96*G107+E107</f>
        <v>2776210.8124179048</v>
      </c>
      <c r="J107" s="505">
        <f t="shared" si="25"/>
        <v>0</v>
      </c>
      <c r="K107" s="505"/>
      <c r="L107" s="513"/>
      <c r="M107" s="505">
        <f t="shared" si="18"/>
        <v>0</v>
      </c>
      <c r="N107" s="513"/>
      <c r="O107" s="505">
        <f t="shared" si="19"/>
        <v>0</v>
      </c>
      <c r="P107" s="505">
        <f t="shared" si="20"/>
        <v>0</v>
      </c>
      <c r="Q107" s="244"/>
      <c r="R107" s="244"/>
      <c r="S107" s="244"/>
      <c r="T107" s="244"/>
      <c r="U107" s="244"/>
    </row>
    <row r="108" spans="1:21">
      <c r="B108" s="145" t="str">
        <f t="shared" si="21"/>
        <v/>
      </c>
      <c r="C108" s="496">
        <f>IF(D94="","-",+C107+1)</f>
        <v>2022</v>
      </c>
      <c r="D108" s="350">
        <f>IF(F107+SUM(E$100:E107)=D$93,F107,D$93-SUM(E$100:E107))</f>
        <v>16265832.023786185</v>
      </c>
      <c r="E108" s="629">
        <f t="shared" si="26"/>
        <v>809703.4</v>
      </c>
      <c r="F108" s="511">
        <f t="shared" si="27"/>
        <v>15456128.623786185</v>
      </c>
      <c r="G108" s="511">
        <f t="shared" si="28"/>
        <v>15860980.323786184</v>
      </c>
      <c r="H108" s="646">
        <f t="shared" si="29"/>
        <v>2680696.5693105231</v>
      </c>
      <c r="I108" s="630">
        <f t="shared" si="30"/>
        <v>2680696.5693105231</v>
      </c>
      <c r="J108" s="505">
        <f t="shared" si="25"/>
        <v>0</v>
      </c>
      <c r="K108" s="505"/>
      <c r="L108" s="513"/>
      <c r="M108" s="505">
        <f t="shared" si="18"/>
        <v>0</v>
      </c>
      <c r="N108" s="513"/>
      <c r="O108" s="505">
        <f t="shared" si="19"/>
        <v>0</v>
      </c>
      <c r="P108" s="505">
        <f t="shared" si="20"/>
        <v>0</v>
      </c>
      <c r="Q108" s="244"/>
      <c r="R108" s="244"/>
      <c r="S108" s="244"/>
      <c r="T108" s="244"/>
      <c r="U108" s="244"/>
    </row>
    <row r="109" spans="1:21">
      <c r="B109" s="145" t="str">
        <f t="shared" si="21"/>
        <v/>
      </c>
      <c r="C109" s="496">
        <f>IF(D94="","-",+C108+1)</f>
        <v>2023</v>
      </c>
      <c r="D109" s="350">
        <f>IF(F108+SUM(E$100:E108)=D$93,F108,D$93-SUM(E$100:E108))</f>
        <v>15456128.623786185</v>
      </c>
      <c r="E109" s="629">
        <f t="shared" si="26"/>
        <v>809703.4</v>
      </c>
      <c r="F109" s="511">
        <f t="shared" si="27"/>
        <v>14646425.223786185</v>
      </c>
      <c r="G109" s="511">
        <f t="shared" si="28"/>
        <v>15051276.923786186</v>
      </c>
      <c r="H109" s="646">
        <f t="shared" si="29"/>
        <v>2585182.3262031418</v>
      </c>
      <c r="I109" s="630">
        <f t="shared" si="30"/>
        <v>2585182.3262031418</v>
      </c>
      <c r="J109" s="505">
        <f t="shared" si="25"/>
        <v>0</v>
      </c>
      <c r="K109" s="505"/>
      <c r="L109" s="513"/>
      <c r="M109" s="505">
        <f t="shared" si="18"/>
        <v>0</v>
      </c>
      <c r="N109" s="513"/>
      <c r="O109" s="505">
        <f t="shared" si="19"/>
        <v>0</v>
      </c>
      <c r="P109" s="505">
        <f t="shared" si="20"/>
        <v>0</v>
      </c>
      <c r="Q109" s="244"/>
      <c r="R109" s="244"/>
      <c r="S109" s="244"/>
      <c r="T109" s="244"/>
      <c r="U109" s="244"/>
    </row>
    <row r="110" spans="1:21">
      <c r="B110" s="145" t="str">
        <f t="shared" si="21"/>
        <v/>
      </c>
      <c r="C110" s="496">
        <f>IF(D94="","-",+C109+1)</f>
        <v>2024</v>
      </c>
      <c r="D110" s="350">
        <f>IF(F109+SUM(E$100:E109)=D$93,F109,D$93-SUM(E$100:E109))</f>
        <v>14646425.223786185</v>
      </c>
      <c r="E110" s="629">
        <f t="shared" si="26"/>
        <v>809703.4</v>
      </c>
      <c r="F110" s="511">
        <f t="shared" si="27"/>
        <v>13836721.823786184</v>
      </c>
      <c r="G110" s="511">
        <f t="shared" si="28"/>
        <v>14241573.523786183</v>
      </c>
      <c r="H110" s="646">
        <f t="shared" si="29"/>
        <v>2489668.0830957601</v>
      </c>
      <c r="I110" s="630">
        <f t="shared" si="30"/>
        <v>2489668.0830957601</v>
      </c>
      <c r="J110" s="505">
        <f t="shared" si="25"/>
        <v>0</v>
      </c>
      <c r="K110" s="505"/>
      <c r="L110" s="513"/>
      <c r="M110" s="505">
        <f t="shared" si="18"/>
        <v>0</v>
      </c>
      <c r="N110" s="513"/>
      <c r="O110" s="505">
        <f t="shared" si="19"/>
        <v>0</v>
      </c>
      <c r="P110" s="505">
        <f t="shared" si="20"/>
        <v>0</v>
      </c>
      <c r="Q110" s="244"/>
      <c r="R110" s="244"/>
      <c r="S110" s="244"/>
      <c r="T110" s="244"/>
      <c r="U110" s="244"/>
    </row>
    <row r="111" spans="1:21">
      <c r="B111" s="145" t="str">
        <f t="shared" si="21"/>
        <v/>
      </c>
      <c r="C111" s="496">
        <f>IF(D94="","-",+C110+1)</f>
        <v>2025</v>
      </c>
      <c r="D111" s="350">
        <f>IF(F110+SUM(E$100:E110)=D$93,F110,D$93-SUM(E$100:E110))</f>
        <v>13836721.823786184</v>
      </c>
      <c r="E111" s="629">
        <f t="shared" si="26"/>
        <v>809703.4</v>
      </c>
      <c r="F111" s="511">
        <f t="shared" si="27"/>
        <v>13027018.423786184</v>
      </c>
      <c r="G111" s="511">
        <f t="shared" si="28"/>
        <v>13431870.123786185</v>
      </c>
      <c r="H111" s="646">
        <f t="shared" si="29"/>
        <v>2394153.8399883793</v>
      </c>
      <c r="I111" s="630">
        <f t="shared" si="30"/>
        <v>2394153.8399883793</v>
      </c>
      <c r="J111" s="505">
        <f t="shared" si="25"/>
        <v>0</v>
      </c>
      <c r="K111" s="505"/>
      <c r="L111" s="513"/>
      <c r="M111" s="505">
        <f t="shared" si="18"/>
        <v>0</v>
      </c>
      <c r="N111" s="513"/>
      <c r="O111" s="505">
        <f t="shared" si="19"/>
        <v>0</v>
      </c>
      <c r="P111" s="505">
        <f t="shared" si="20"/>
        <v>0</v>
      </c>
      <c r="Q111" s="244"/>
      <c r="R111" s="244"/>
      <c r="S111" s="244"/>
      <c r="T111" s="244"/>
      <c r="U111" s="244"/>
    </row>
    <row r="112" spans="1:21">
      <c r="B112" s="145" t="str">
        <f t="shared" si="21"/>
        <v/>
      </c>
      <c r="C112" s="496">
        <f>IF(D94="","-",+C111+1)</f>
        <v>2026</v>
      </c>
      <c r="D112" s="350">
        <f>IF(F111+SUM(E$100:E111)=D$93,F111,D$93-SUM(E$100:E111))</f>
        <v>13027018.423786184</v>
      </c>
      <c r="E112" s="629">
        <f t="shared" si="26"/>
        <v>809703.4</v>
      </c>
      <c r="F112" s="511">
        <f t="shared" si="27"/>
        <v>12217315.023786183</v>
      </c>
      <c r="G112" s="511">
        <f t="shared" si="28"/>
        <v>12622166.723786183</v>
      </c>
      <c r="H112" s="646">
        <f t="shared" si="29"/>
        <v>2298639.5968809975</v>
      </c>
      <c r="I112" s="630">
        <f t="shared" si="30"/>
        <v>2298639.5968809975</v>
      </c>
      <c r="J112" s="505">
        <f t="shared" si="25"/>
        <v>0</v>
      </c>
      <c r="K112" s="505"/>
      <c r="L112" s="513"/>
      <c r="M112" s="505">
        <f t="shared" si="18"/>
        <v>0</v>
      </c>
      <c r="N112" s="513"/>
      <c r="O112" s="505">
        <f t="shared" si="19"/>
        <v>0</v>
      </c>
      <c r="P112" s="505">
        <f t="shared" si="20"/>
        <v>0</v>
      </c>
      <c r="Q112" s="244"/>
      <c r="R112" s="244"/>
      <c r="S112" s="244"/>
      <c r="T112" s="244"/>
      <c r="U112" s="244"/>
    </row>
    <row r="113" spans="2:21">
      <c r="B113" s="145" t="str">
        <f t="shared" si="21"/>
        <v/>
      </c>
      <c r="C113" s="496">
        <f>IF(D94="","-",+C112+1)</f>
        <v>2027</v>
      </c>
      <c r="D113" s="350">
        <f>IF(F112+SUM(E$100:E112)=D$93,F112,D$93-SUM(E$100:E112))</f>
        <v>12217315.023786183</v>
      </c>
      <c r="E113" s="629">
        <f t="shared" si="26"/>
        <v>809703.4</v>
      </c>
      <c r="F113" s="511">
        <f t="shared" si="27"/>
        <v>11407611.623786183</v>
      </c>
      <c r="G113" s="511">
        <f t="shared" si="28"/>
        <v>11812463.323786184</v>
      </c>
      <c r="H113" s="646">
        <f t="shared" si="29"/>
        <v>2203125.3537736163</v>
      </c>
      <c r="I113" s="630">
        <f t="shared" si="30"/>
        <v>2203125.3537736163</v>
      </c>
      <c r="J113" s="505">
        <f t="shared" si="25"/>
        <v>0</v>
      </c>
      <c r="K113" s="505"/>
      <c r="L113" s="513"/>
      <c r="M113" s="505">
        <f t="shared" si="18"/>
        <v>0</v>
      </c>
      <c r="N113" s="513"/>
      <c r="O113" s="505">
        <f t="shared" si="19"/>
        <v>0</v>
      </c>
      <c r="P113" s="505">
        <f t="shared" si="20"/>
        <v>0</v>
      </c>
      <c r="Q113" s="244"/>
      <c r="R113" s="244"/>
      <c r="S113" s="244"/>
      <c r="T113" s="244"/>
      <c r="U113" s="244"/>
    </row>
    <row r="114" spans="2:21">
      <c r="B114" s="145" t="str">
        <f t="shared" si="21"/>
        <v/>
      </c>
      <c r="C114" s="496">
        <f>IF(D94="","-",+C113+1)</f>
        <v>2028</v>
      </c>
      <c r="D114" s="350">
        <f>IF(F113+SUM(E$100:E113)=D$93,F113,D$93-SUM(E$100:E113))</f>
        <v>11407611.623786183</v>
      </c>
      <c r="E114" s="629">
        <f t="shared" si="26"/>
        <v>809703.4</v>
      </c>
      <c r="F114" s="511">
        <f t="shared" si="27"/>
        <v>10597908.223786183</v>
      </c>
      <c r="G114" s="511">
        <f t="shared" si="28"/>
        <v>11002759.923786182</v>
      </c>
      <c r="H114" s="646">
        <f t="shared" si="29"/>
        <v>2107611.1106662345</v>
      </c>
      <c r="I114" s="630">
        <f t="shared" si="30"/>
        <v>2107611.1106662345</v>
      </c>
      <c r="J114" s="505">
        <f t="shared" si="25"/>
        <v>0</v>
      </c>
      <c r="K114" s="505"/>
      <c r="L114" s="513"/>
      <c r="M114" s="505">
        <f t="shared" si="18"/>
        <v>0</v>
      </c>
      <c r="N114" s="513"/>
      <c r="O114" s="505">
        <f t="shared" si="19"/>
        <v>0</v>
      </c>
      <c r="P114" s="505">
        <f t="shared" si="20"/>
        <v>0</v>
      </c>
      <c r="Q114" s="244"/>
      <c r="R114" s="244"/>
      <c r="S114" s="244"/>
      <c r="T114" s="244"/>
      <c r="U114" s="244"/>
    </row>
    <row r="115" spans="2:21">
      <c r="B115" s="145" t="str">
        <f t="shared" si="21"/>
        <v/>
      </c>
      <c r="C115" s="496">
        <f>IF(D94="","-",+C114+1)</f>
        <v>2029</v>
      </c>
      <c r="D115" s="350">
        <f>IF(F114+SUM(E$100:E114)=D$93,F114,D$93-SUM(E$100:E114))</f>
        <v>10597908.223786183</v>
      </c>
      <c r="E115" s="629">
        <f t="shared" si="26"/>
        <v>809703.4</v>
      </c>
      <c r="F115" s="511">
        <f t="shared" si="27"/>
        <v>9788204.8237861823</v>
      </c>
      <c r="G115" s="511">
        <f t="shared" si="28"/>
        <v>10193056.523786183</v>
      </c>
      <c r="H115" s="646">
        <f t="shared" si="29"/>
        <v>2012096.8675588532</v>
      </c>
      <c r="I115" s="630">
        <f t="shared" si="30"/>
        <v>2012096.8675588532</v>
      </c>
      <c r="J115" s="505">
        <f t="shared" si="25"/>
        <v>0</v>
      </c>
      <c r="K115" s="505"/>
      <c r="L115" s="513"/>
      <c r="M115" s="505">
        <f t="shared" si="18"/>
        <v>0</v>
      </c>
      <c r="N115" s="513"/>
      <c r="O115" s="505">
        <f t="shared" si="19"/>
        <v>0</v>
      </c>
      <c r="P115" s="505">
        <f t="shared" si="20"/>
        <v>0</v>
      </c>
      <c r="Q115" s="244"/>
      <c r="R115" s="244"/>
      <c r="S115" s="244"/>
      <c r="T115" s="244"/>
      <c r="U115" s="244"/>
    </row>
    <row r="116" spans="2:21">
      <c r="B116" s="145" t="str">
        <f t="shared" si="21"/>
        <v/>
      </c>
      <c r="C116" s="496">
        <f>IF(D94="","-",+C115+1)</f>
        <v>2030</v>
      </c>
      <c r="D116" s="350">
        <f>IF(F115+SUM(E$100:E115)=D$93,F115,D$93-SUM(E$100:E115))</f>
        <v>9788204.8237861823</v>
      </c>
      <c r="E116" s="629">
        <f t="shared" si="26"/>
        <v>809703.4</v>
      </c>
      <c r="F116" s="511">
        <f t="shared" si="27"/>
        <v>8978501.423786182</v>
      </c>
      <c r="G116" s="511">
        <f t="shared" si="28"/>
        <v>9383353.1237861812</v>
      </c>
      <c r="H116" s="646">
        <f t="shared" si="29"/>
        <v>1916582.624451472</v>
      </c>
      <c r="I116" s="630">
        <f t="shared" si="30"/>
        <v>1916582.624451472</v>
      </c>
      <c r="J116" s="505">
        <f t="shared" si="25"/>
        <v>0</v>
      </c>
      <c r="K116" s="505"/>
      <c r="L116" s="513"/>
      <c r="M116" s="505">
        <f t="shared" si="18"/>
        <v>0</v>
      </c>
      <c r="N116" s="513"/>
      <c r="O116" s="505">
        <f t="shared" si="19"/>
        <v>0</v>
      </c>
      <c r="P116" s="505">
        <f t="shared" si="20"/>
        <v>0</v>
      </c>
      <c r="Q116" s="244"/>
      <c r="R116" s="244"/>
      <c r="S116" s="244"/>
      <c r="T116" s="244"/>
      <c r="U116" s="244"/>
    </row>
    <row r="117" spans="2:21">
      <c r="B117" s="145" t="str">
        <f t="shared" si="21"/>
        <v/>
      </c>
      <c r="C117" s="496">
        <f>IF(D94="","-",+C116+1)</f>
        <v>2031</v>
      </c>
      <c r="D117" s="350">
        <f>IF(F116+SUM(E$100:E116)=D$93,F116,D$93-SUM(E$100:E116))</f>
        <v>8978501.423786182</v>
      </c>
      <c r="E117" s="629">
        <f t="shared" si="26"/>
        <v>809703.4</v>
      </c>
      <c r="F117" s="511">
        <f t="shared" si="27"/>
        <v>8168798.0237861816</v>
      </c>
      <c r="G117" s="511">
        <f t="shared" si="28"/>
        <v>8573649.7237861827</v>
      </c>
      <c r="H117" s="646">
        <f t="shared" si="29"/>
        <v>1821068.3813440907</v>
      </c>
      <c r="I117" s="630">
        <f t="shared" si="30"/>
        <v>1821068.3813440907</v>
      </c>
      <c r="J117" s="505">
        <f t="shared" si="25"/>
        <v>0</v>
      </c>
      <c r="K117" s="505"/>
      <c r="L117" s="513"/>
      <c r="M117" s="505">
        <f t="shared" si="18"/>
        <v>0</v>
      </c>
      <c r="N117" s="513"/>
      <c r="O117" s="505">
        <f t="shared" si="19"/>
        <v>0</v>
      </c>
      <c r="P117" s="505">
        <f t="shared" si="20"/>
        <v>0</v>
      </c>
      <c r="Q117" s="244"/>
      <c r="R117" s="244"/>
      <c r="S117" s="244"/>
      <c r="T117" s="244"/>
      <c r="U117" s="244"/>
    </row>
    <row r="118" spans="2:21">
      <c r="B118" s="145" t="str">
        <f t="shared" si="21"/>
        <v/>
      </c>
      <c r="C118" s="496">
        <f>IF(D94="","-",+C117+1)</f>
        <v>2032</v>
      </c>
      <c r="D118" s="350">
        <f>IF(F117+SUM(E$100:E117)=D$93,F117,D$93-SUM(E$100:E117))</f>
        <v>8168798.0237861816</v>
      </c>
      <c r="E118" s="629">
        <f t="shared" si="26"/>
        <v>809703.4</v>
      </c>
      <c r="F118" s="511">
        <f t="shared" si="27"/>
        <v>7359094.6237861812</v>
      </c>
      <c r="G118" s="511">
        <f t="shared" si="28"/>
        <v>7763946.3237861814</v>
      </c>
      <c r="H118" s="646">
        <f t="shared" si="29"/>
        <v>1725554.1382367089</v>
      </c>
      <c r="I118" s="630">
        <f t="shared" si="30"/>
        <v>1725554.1382367089</v>
      </c>
      <c r="J118" s="505">
        <f t="shared" si="25"/>
        <v>0</v>
      </c>
      <c r="K118" s="505"/>
      <c r="L118" s="513"/>
      <c r="M118" s="505">
        <f t="shared" si="18"/>
        <v>0</v>
      </c>
      <c r="N118" s="513"/>
      <c r="O118" s="505">
        <f t="shared" si="19"/>
        <v>0</v>
      </c>
      <c r="P118" s="505">
        <f t="shared" si="20"/>
        <v>0</v>
      </c>
      <c r="Q118" s="244"/>
      <c r="R118" s="244"/>
      <c r="S118" s="244"/>
      <c r="T118" s="244"/>
      <c r="U118" s="244"/>
    </row>
    <row r="119" spans="2:21">
      <c r="B119" s="145" t="str">
        <f t="shared" si="21"/>
        <v/>
      </c>
      <c r="C119" s="496">
        <f>IF(D94="","-",+C118+1)</f>
        <v>2033</v>
      </c>
      <c r="D119" s="350">
        <f>IF(F118+SUM(E$100:E118)=D$93,F118,D$93-SUM(E$100:E118))</f>
        <v>7359094.6237861812</v>
      </c>
      <c r="E119" s="629">
        <f t="shared" si="26"/>
        <v>809703.4</v>
      </c>
      <c r="F119" s="511">
        <f t="shared" si="27"/>
        <v>6549391.2237861808</v>
      </c>
      <c r="G119" s="511">
        <f t="shared" si="28"/>
        <v>6954242.923786181</v>
      </c>
      <c r="H119" s="646">
        <f t="shared" si="29"/>
        <v>1630039.8951293277</v>
      </c>
      <c r="I119" s="630">
        <f t="shared" si="30"/>
        <v>1630039.8951293277</v>
      </c>
      <c r="J119" s="505">
        <f t="shared" si="25"/>
        <v>0</v>
      </c>
      <c r="K119" s="505"/>
      <c r="L119" s="513"/>
      <c r="M119" s="505">
        <f t="shared" si="18"/>
        <v>0</v>
      </c>
      <c r="N119" s="513"/>
      <c r="O119" s="505">
        <f t="shared" si="19"/>
        <v>0</v>
      </c>
      <c r="P119" s="505">
        <f t="shared" si="20"/>
        <v>0</v>
      </c>
      <c r="Q119" s="244"/>
      <c r="R119" s="244"/>
      <c r="S119" s="244"/>
      <c r="T119" s="244"/>
      <c r="U119" s="244"/>
    </row>
    <row r="120" spans="2:21">
      <c r="B120" s="145" t="str">
        <f t="shared" si="21"/>
        <v/>
      </c>
      <c r="C120" s="496">
        <f>IF(D94="","-",+C119+1)</f>
        <v>2034</v>
      </c>
      <c r="D120" s="350">
        <f>IF(F119+SUM(E$100:E119)=D$93,F119,D$93-SUM(E$100:E119))</f>
        <v>6549391.2237861808</v>
      </c>
      <c r="E120" s="629">
        <f t="shared" si="26"/>
        <v>809703.4</v>
      </c>
      <c r="F120" s="511">
        <f t="shared" si="27"/>
        <v>5739687.8237861805</v>
      </c>
      <c r="G120" s="511">
        <f t="shared" si="28"/>
        <v>6144539.5237861807</v>
      </c>
      <c r="H120" s="646">
        <f t="shared" si="29"/>
        <v>1534525.6520219462</v>
      </c>
      <c r="I120" s="630">
        <f t="shared" si="30"/>
        <v>1534525.6520219462</v>
      </c>
      <c r="J120" s="505">
        <f t="shared" si="25"/>
        <v>0</v>
      </c>
      <c r="K120" s="505"/>
      <c r="L120" s="513"/>
      <c r="M120" s="505">
        <f t="shared" si="18"/>
        <v>0</v>
      </c>
      <c r="N120" s="513"/>
      <c r="O120" s="505">
        <f t="shared" si="19"/>
        <v>0</v>
      </c>
      <c r="P120" s="505">
        <f t="shared" si="20"/>
        <v>0</v>
      </c>
      <c r="Q120" s="244"/>
      <c r="R120" s="244"/>
      <c r="S120" s="244"/>
      <c r="T120" s="244"/>
      <c r="U120" s="244"/>
    </row>
    <row r="121" spans="2:21">
      <c r="B121" s="145" t="str">
        <f t="shared" si="21"/>
        <v/>
      </c>
      <c r="C121" s="496">
        <f>IF(D94="","-",+C120+1)</f>
        <v>2035</v>
      </c>
      <c r="D121" s="350">
        <f>IF(F120+SUM(E$100:E120)=D$93,F120,D$93-SUM(E$100:E120))</f>
        <v>5739687.8237861805</v>
      </c>
      <c r="E121" s="629">
        <f t="shared" si="26"/>
        <v>809703.4</v>
      </c>
      <c r="F121" s="511">
        <f t="shared" si="27"/>
        <v>4929984.4237861801</v>
      </c>
      <c r="G121" s="511">
        <f t="shared" si="28"/>
        <v>5334836.1237861803</v>
      </c>
      <c r="H121" s="646">
        <f t="shared" si="29"/>
        <v>1439011.4089145646</v>
      </c>
      <c r="I121" s="630">
        <f t="shared" si="30"/>
        <v>1439011.4089145646</v>
      </c>
      <c r="J121" s="505">
        <f t="shared" si="25"/>
        <v>0</v>
      </c>
      <c r="K121" s="505"/>
      <c r="L121" s="513"/>
      <c r="M121" s="505">
        <f t="shared" si="18"/>
        <v>0</v>
      </c>
      <c r="N121" s="513"/>
      <c r="O121" s="505">
        <f t="shared" si="19"/>
        <v>0</v>
      </c>
      <c r="P121" s="505">
        <f t="shared" si="20"/>
        <v>0</v>
      </c>
      <c r="Q121" s="244"/>
      <c r="R121" s="244"/>
      <c r="S121" s="244"/>
      <c r="T121" s="244"/>
      <c r="U121" s="244"/>
    </row>
    <row r="122" spans="2:21">
      <c r="B122" s="145" t="str">
        <f t="shared" si="21"/>
        <v/>
      </c>
      <c r="C122" s="496">
        <f>IF(D94="","-",+C121+1)</f>
        <v>2036</v>
      </c>
      <c r="D122" s="350">
        <f>IF(F121+SUM(E$100:E121)=D$93,F121,D$93-SUM(E$100:E121))</f>
        <v>4929984.4237861801</v>
      </c>
      <c r="E122" s="629">
        <f t="shared" si="26"/>
        <v>809703.4</v>
      </c>
      <c r="F122" s="511">
        <f t="shared" si="27"/>
        <v>4120281.0237861802</v>
      </c>
      <c r="G122" s="511">
        <f t="shared" si="28"/>
        <v>4525132.7237861799</v>
      </c>
      <c r="H122" s="646">
        <f t="shared" si="29"/>
        <v>1343497.1658071834</v>
      </c>
      <c r="I122" s="630">
        <f t="shared" si="30"/>
        <v>1343497.1658071834</v>
      </c>
      <c r="J122" s="505">
        <f t="shared" si="25"/>
        <v>0</v>
      </c>
      <c r="K122" s="505"/>
      <c r="L122" s="513"/>
      <c r="M122" s="505">
        <f t="shared" si="18"/>
        <v>0</v>
      </c>
      <c r="N122" s="513"/>
      <c r="O122" s="505">
        <f t="shared" si="19"/>
        <v>0</v>
      </c>
      <c r="P122" s="505">
        <f t="shared" si="20"/>
        <v>0</v>
      </c>
      <c r="Q122" s="244"/>
      <c r="R122" s="244"/>
      <c r="S122" s="244"/>
      <c r="T122" s="244"/>
      <c r="U122" s="244"/>
    </row>
    <row r="123" spans="2:21">
      <c r="B123" s="145" t="str">
        <f t="shared" si="21"/>
        <v/>
      </c>
      <c r="C123" s="496">
        <f>IF(D94="","-",+C122+1)</f>
        <v>2037</v>
      </c>
      <c r="D123" s="350">
        <f>IF(F122+SUM(E$100:E122)=D$93,F122,D$93-SUM(E$100:E122))</f>
        <v>4120281.0237861802</v>
      </c>
      <c r="E123" s="629">
        <f t="shared" si="26"/>
        <v>809703.4</v>
      </c>
      <c r="F123" s="511">
        <f t="shared" si="27"/>
        <v>3310577.6237861803</v>
      </c>
      <c r="G123" s="511">
        <f t="shared" si="28"/>
        <v>3715429.3237861805</v>
      </c>
      <c r="H123" s="646">
        <f t="shared" si="29"/>
        <v>1247982.9226998021</v>
      </c>
      <c r="I123" s="630">
        <f t="shared" si="30"/>
        <v>1247982.9226998021</v>
      </c>
      <c r="J123" s="505">
        <f t="shared" si="25"/>
        <v>0</v>
      </c>
      <c r="K123" s="505"/>
      <c r="L123" s="513"/>
      <c r="M123" s="505">
        <f t="shared" si="18"/>
        <v>0</v>
      </c>
      <c r="N123" s="513"/>
      <c r="O123" s="505">
        <f t="shared" si="19"/>
        <v>0</v>
      </c>
      <c r="P123" s="505">
        <f t="shared" si="20"/>
        <v>0</v>
      </c>
      <c r="Q123" s="244"/>
      <c r="R123" s="244"/>
      <c r="S123" s="244"/>
      <c r="T123" s="244"/>
      <c r="U123" s="244"/>
    </row>
    <row r="124" spans="2:21">
      <c r="B124" s="145" t="str">
        <f t="shared" si="21"/>
        <v/>
      </c>
      <c r="C124" s="496">
        <f>IF(D94="","-",+C123+1)</f>
        <v>2038</v>
      </c>
      <c r="D124" s="350">
        <f>IF(F123+SUM(E$100:E123)=D$93,F123,D$93-SUM(E$100:E123))</f>
        <v>3310577.6237861803</v>
      </c>
      <c r="E124" s="629">
        <f t="shared" si="26"/>
        <v>809703.4</v>
      </c>
      <c r="F124" s="511">
        <f t="shared" si="27"/>
        <v>2500874.2237861804</v>
      </c>
      <c r="G124" s="511">
        <f t="shared" si="28"/>
        <v>2905725.9237861801</v>
      </c>
      <c r="H124" s="646">
        <f t="shared" si="29"/>
        <v>1152468.6795924206</v>
      </c>
      <c r="I124" s="630">
        <f t="shared" si="30"/>
        <v>1152468.6795924206</v>
      </c>
      <c r="J124" s="505">
        <f t="shared" si="25"/>
        <v>0</v>
      </c>
      <c r="K124" s="505"/>
      <c r="L124" s="513"/>
      <c r="M124" s="505">
        <f t="shared" si="18"/>
        <v>0</v>
      </c>
      <c r="N124" s="513"/>
      <c r="O124" s="505">
        <f t="shared" si="19"/>
        <v>0</v>
      </c>
      <c r="P124" s="505">
        <f t="shared" si="20"/>
        <v>0</v>
      </c>
      <c r="Q124" s="244"/>
      <c r="R124" s="244"/>
      <c r="S124" s="244"/>
      <c r="T124" s="244"/>
      <c r="U124" s="244"/>
    </row>
    <row r="125" spans="2:21">
      <c r="B125" s="145" t="str">
        <f t="shared" si="21"/>
        <v/>
      </c>
      <c r="C125" s="496">
        <f>IF(D94="","-",+C124+1)</f>
        <v>2039</v>
      </c>
      <c r="D125" s="350">
        <f>IF(F124+SUM(E$100:E124)=D$93,F124,D$93-SUM(E$100:E124))</f>
        <v>2500874.2237861804</v>
      </c>
      <c r="E125" s="629">
        <f t="shared" si="26"/>
        <v>809703.4</v>
      </c>
      <c r="F125" s="511">
        <f t="shared" si="27"/>
        <v>1691170.8237861805</v>
      </c>
      <c r="G125" s="511">
        <f t="shared" si="28"/>
        <v>2096022.5237861804</v>
      </c>
      <c r="H125" s="646">
        <f t="shared" si="29"/>
        <v>1056954.4364850393</v>
      </c>
      <c r="I125" s="630">
        <f t="shared" si="30"/>
        <v>1056954.4364850393</v>
      </c>
      <c r="J125" s="505">
        <f t="shared" si="25"/>
        <v>0</v>
      </c>
      <c r="K125" s="505"/>
      <c r="L125" s="513"/>
      <c r="M125" s="505">
        <f t="shared" si="18"/>
        <v>0</v>
      </c>
      <c r="N125" s="513"/>
      <c r="O125" s="505">
        <f t="shared" si="19"/>
        <v>0</v>
      </c>
      <c r="P125" s="505">
        <f t="shared" si="20"/>
        <v>0</v>
      </c>
      <c r="Q125" s="244"/>
      <c r="R125" s="244"/>
      <c r="S125" s="244"/>
      <c r="T125" s="244"/>
      <c r="U125" s="244"/>
    </row>
    <row r="126" spans="2:21">
      <c r="B126" s="145" t="str">
        <f t="shared" si="21"/>
        <v/>
      </c>
      <c r="C126" s="496">
        <f>IF(D94="","-",+C125+1)</f>
        <v>2040</v>
      </c>
      <c r="D126" s="350">
        <f>IF(F125+SUM(E$100:E125)=D$93,F125,D$93-SUM(E$100:E125))</f>
        <v>1691170.8237861805</v>
      </c>
      <c r="E126" s="629">
        <f t="shared" si="26"/>
        <v>809703.4</v>
      </c>
      <c r="F126" s="511">
        <f t="shared" si="27"/>
        <v>881467.42378618044</v>
      </c>
      <c r="G126" s="511">
        <f t="shared" si="28"/>
        <v>1286319.1237861805</v>
      </c>
      <c r="H126" s="646">
        <f t="shared" si="29"/>
        <v>961440.19337765791</v>
      </c>
      <c r="I126" s="630">
        <f t="shared" si="30"/>
        <v>961440.19337765791</v>
      </c>
      <c r="J126" s="505">
        <f t="shared" si="25"/>
        <v>0</v>
      </c>
      <c r="K126" s="505"/>
      <c r="L126" s="513"/>
      <c r="M126" s="505">
        <f t="shared" si="18"/>
        <v>0</v>
      </c>
      <c r="N126" s="513"/>
      <c r="O126" s="505">
        <f t="shared" si="19"/>
        <v>0</v>
      </c>
      <c r="P126" s="505">
        <f t="shared" si="20"/>
        <v>0</v>
      </c>
      <c r="Q126" s="244"/>
      <c r="R126" s="244"/>
      <c r="S126" s="244"/>
      <c r="T126" s="244"/>
      <c r="U126" s="244"/>
    </row>
    <row r="127" spans="2:21">
      <c r="B127" s="145" t="str">
        <f t="shared" si="21"/>
        <v/>
      </c>
      <c r="C127" s="496">
        <f>IF(D94="","-",+C126+1)</f>
        <v>2041</v>
      </c>
      <c r="D127" s="350">
        <f>IF(F126+SUM(E$100:E126)=D$93,F126,D$93-SUM(E$100:E126))</f>
        <v>881467.42378618044</v>
      </c>
      <c r="E127" s="629">
        <f t="shared" si="26"/>
        <v>809703.4</v>
      </c>
      <c r="F127" s="511">
        <f t="shared" si="27"/>
        <v>71764.02378618042</v>
      </c>
      <c r="G127" s="511">
        <f t="shared" si="28"/>
        <v>476615.72378618043</v>
      </c>
      <c r="H127" s="646">
        <f t="shared" si="29"/>
        <v>865925.95027027652</v>
      </c>
      <c r="I127" s="630">
        <f t="shared" si="30"/>
        <v>865925.95027027652</v>
      </c>
      <c r="J127" s="505">
        <f t="shared" si="25"/>
        <v>0</v>
      </c>
      <c r="K127" s="505"/>
      <c r="L127" s="513"/>
      <c r="M127" s="505">
        <f t="shared" si="18"/>
        <v>0</v>
      </c>
      <c r="N127" s="513"/>
      <c r="O127" s="505">
        <f t="shared" si="19"/>
        <v>0</v>
      </c>
      <c r="P127" s="505">
        <f t="shared" si="20"/>
        <v>0</v>
      </c>
      <c r="Q127" s="244"/>
      <c r="R127" s="244"/>
      <c r="S127" s="244"/>
      <c r="T127" s="244"/>
      <c r="U127" s="244"/>
    </row>
    <row r="128" spans="2:21">
      <c r="B128" s="145" t="str">
        <f t="shared" si="21"/>
        <v/>
      </c>
      <c r="C128" s="496">
        <f>IF(D94="","-",+C127+1)</f>
        <v>2042</v>
      </c>
      <c r="D128" s="350">
        <f>IF(F127+SUM(E$100:E127)=D$93,F127,D$93-SUM(E$100:E127))</f>
        <v>71764.02378618042</v>
      </c>
      <c r="E128" s="629">
        <f t="shared" si="26"/>
        <v>71764.02378618042</v>
      </c>
      <c r="F128" s="511">
        <f t="shared" si="27"/>
        <v>0</v>
      </c>
      <c r="G128" s="511">
        <f t="shared" si="28"/>
        <v>35882.01189309021</v>
      </c>
      <c r="H128" s="646">
        <f t="shared" si="29"/>
        <v>75996.738144473304</v>
      </c>
      <c r="I128" s="630">
        <f t="shared" si="30"/>
        <v>75996.738144473304</v>
      </c>
      <c r="J128" s="505">
        <f t="shared" si="25"/>
        <v>0</v>
      </c>
      <c r="K128" s="505"/>
      <c r="L128" s="513"/>
      <c r="M128" s="505">
        <f t="shared" si="18"/>
        <v>0</v>
      </c>
      <c r="N128" s="513"/>
      <c r="O128" s="505">
        <f t="shared" si="19"/>
        <v>0</v>
      </c>
      <c r="P128" s="505">
        <f t="shared" si="20"/>
        <v>0</v>
      </c>
      <c r="Q128" s="244"/>
      <c r="R128" s="244"/>
      <c r="S128" s="244"/>
      <c r="T128" s="244"/>
      <c r="U128" s="244"/>
    </row>
    <row r="129" spans="2:21">
      <c r="B129" s="145" t="str">
        <f t="shared" si="21"/>
        <v/>
      </c>
      <c r="C129" s="496">
        <f>IF(D94="","-",+C128+1)</f>
        <v>2043</v>
      </c>
      <c r="D129" s="350">
        <f>IF(F128+SUM(E$100:E128)=D$93,F128,D$93-SUM(E$100:E128))</f>
        <v>0</v>
      </c>
      <c r="E129" s="629">
        <f t="shared" si="26"/>
        <v>0</v>
      </c>
      <c r="F129" s="511">
        <f t="shared" si="27"/>
        <v>0</v>
      </c>
      <c r="G129" s="511">
        <f t="shared" si="28"/>
        <v>0</v>
      </c>
      <c r="H129" s="646">
        <f t="shared" si="29"/>
        <v>0</v>
      </c>
      <c r="I129" s="630">
        <f t="shared" si="30"/>
        <v>0</v>
      </c>
      <c r="J129" s="505">
        <f t="shared" si="25"/>
        <v>0</v>
      </c>
      <c r="K129" s="505"/>
      <c r="L129" s="513"/>
      <c r="M129" s="505">
        <f t="shared" si="18"/>
        <v>0</v>
      </c>
      <c r="N129" s="513"/>
      <c r="O129" s="505">
        <f t="shared" si="19"/>
        <v>0</v>
      </c>
      <c r="P129" s="505">
        <f t="shared" si="20"/>
        <v>0</v>
      </c>
      <c r="Q129" s="244"/>
      <c r="R129" s="244"/>
      <c r="S129" s="244"/>
      <c r="T129" s="244"/>
      <c r="U129" s="244"/>
    </row>
    <row r="130" spans="2:21">
      <c r="B130" s="145" t="str">
        <f t="shared" si="21"/>
        <v/>
      </c>
      <c r="C130" s="496">
        <f>IF(D94="","-",+C129+1)</f>
        <v>2044</v>
      </c>
      <c r="D130" s="350">
        <f>IF(F129+SUM(E$100:E129)=D$93,F129,D$93-SUM(E$100:E129))</f>
        <v>0</v>
      </c>
      <c r="E130" s="629">
        <f t="shared" si="26"/>
        <v>0</v>
      </c>
      <c r="F130" s="511">
        <f t="shared" si="27"/>
        <v>0</v>
      </c>
      <c r="G130" s="511">
        <f t="shared" si="28"/>
        <v>0</v>
      </c>
      <c r="H130" s="646">
        <f t="shared" si="29"/>
        <v>0</v>
      </c>
      <c r="I130" s="630">
        <f t="shared" si="30"/>
        <v>0</v>
      </c>
      <c r="J130" s="505">
        <f t="shared" si="25"/>
        <v>0</v>
      </c>
      <c r="K130" s="505"/>
      <c r="L130" s="513"/>
      <c r="M130" s="505">
        <f t="shared" si="18"/>
        <v>0</v>
      </c>
      <c r="N130" s="513"/>
      <c r="O130" s="505">
        <f t="shared" si="19"/>
        <v>0</v>
      </c>
      <c r="P130" s="505">
        <f t="shared" si="20"/>
        <v>0</v>
      </c>
      <c r="Q130" s="244"/>
      <c r="R130" s="244"/>
      <c r="S130" s="244"/>
      <c r="T130" s="244"/>
      <c r="U130" s="244"/>
    </row>
    <row r="131" spans="2:21">
      <c r="B131" s="145" t="str">
        <f t="shared" si="21"/>
        <v/>
      </c>
      <c r="C131" s="496">
        <f>IF(D94="","-",+C130+1)</f>
        <v>2045</v>
      </c>
      <c r="D131" s="350">
        <f>IF(F130+SUM(E$100:E130)=D$93,F130,D$93-SUM(E$100:E130))</f>
        <v>0</v>
      </c>
      <c r="E131" s="629">
        <f t="shared" si="26"/>
        <v>0</v>
      </c>
      <c r="F131" s="511">
        <f t="shared" si="27"/>
        <v>0</v>
      </c>
      <c r="G131" s="511">
        <f t="shared" si="28"/>
        <v>0</v>
      </c>
      <c r="H131" s="646">
        <f t="shared" si="29"/>
        <v>0</v>
      </c>
      <c r="I131" s="630">
        <f t="shared" si="30"/>
        <v>0</v>
      </c>
      <c r="J131" s="505">
        <f t="shared" si="25"/>
        <v>0</v>
      </c>
      <c r="K131" s="505"/>
      <c r="L131" s="513"/>
      <c r="M131" s="505">
        <f t="shared" si="18"/>
        <v>0</v>
      </c>
      <c r="N131" s="513"/>
      <c r="O131" s="505">
        <f t="shared" si="19"/>
        <v>0</v>
      </c>
      <c r="P131" s="505">
        <f t="shared" si="20"/>
        <v>0</v>
      </c>
      <c r="Q131" s="244"/>
      <c r="R131" s="244"/>
      <c r="S131" s="244"/>
      <c r="T131" s="244"/>
      <c r="U131" s="244"/>
    </row>
    <row r="132" spans="2:21">
      <c r="B132" s="145" t="str">
        <f t="shared" si="21"/>
        <v/>
      </c>
      <c r="C132" s="496">
        <f>IF(D94="","-",+C131+1)</f>
        <v>2046</v>
      </c>
      <c r="D132" s="350">
        <f>IF(F131+SUM(E$100:E131)=D$93,F131,D$93-SUM(E$100:E131))</f>
        <v>0</v>
      </c>
      <c r="E132" s="629">
        <f t="shared" si="26"/>
        <v>0</v>
      </c>
      <c r="F132" s="511">
        <f t="shared" si="27"/>
        <v>0</v>
      </c>
      <c r="G132" s="511">
        <f t="shared" si="28"/>
        <v>0</v>
      </c>
      <c r="H132" s="646">
        <f t="shared" si="29"/>
        <v>0</v>
      </c>
      <c r="I132" s="630">
        <f t="shared" si="30"/>
        <v>0</v>
      </c>
      <c r="J132" s="505">
        <f t="shared" si="25"/>
        <v>0</v>
      </c>
      <c r="K132" s="505"/>
      <c r="L132" s="513"/>
      <c r="M132" s="505">
        <f t="shared" ref="M132:M155" si="31">IF(L542&lt;&gt;0,+H542-L542,0)</f>
        <v>0</v>
      </c>
      <c r="N132" s="513"/>
      <c r="O132" s="505">
        <f t="shared" ref="O132:O155" si="32">IF(N542&lt;&gt;0,+I542-N542,0)</f>
        <v>0</v>
      </c>
      <c r="P132" s="505">
        <f t="shared" ref="P132:P155" si="33">+O542-M542</f>
        <v>0</v>
      </c>
      <c r="Q132" s="244"/>
      <c r="R132" s="244"/>
      <c r="S132" s="244"/>
      <c r="T132" s="244"/>
      <c r="U132" s="244"/>
    </row>
    <row r="133" spans="2:21">
      <c r="B133" s="145" t="str">
        <f t="shared" si="21"/>
        <v/>
      </c>
      <c r="C133" s="496">
        <f>IF(D94="","-",+C132+1)</f>
        <v>2047</v>
      </c>
      <c r="D133" s="350">
        <f>IF(F132+SUM(E$100:E132)=D$93,F132,D$93-SUM(E$100:E132))</f>
        <v>0</v>
      </c>
      <c r="E133" s="629">
        <f t="shared" si="26"/>
        <v>0</v>
      </c>
      <c r="F133" s="511">
        <f t="shared" si="27"/>
        <v>0</v>
      </c>
      <c r="G133" s="511">
        <f t="shared" si="28"/>
        <v>0</v>
      </c>
      <c r="H133" s="646">
        <f t="shared" si="29"/>
        <v>0</v>
      </c>
      <c r="I133" s="630">
        <f t="shared" si="30"/>
        <v>0</v>
      </c>
      <c r="J133" s="505">
        <f t="shared" si="25"/>
        <v>0</v>
      </c>
      <c r="K133" s="505"/>
      <c r="L133" s="513"/>
      <c r="M133" s="505">
        <f t="shared" si="31"/>
        <v>0</v>
      </c>
      <c r="N133" s="513"/>
      <c r="O133" s="505">
        <f t="shared" si="32"/>
        <v>0</v>
      </c>
      <c r="P133" s="505">
        <f t="shared" si="33"/>
        <v>0</v>
      </c>
      <c r="Q133" s="244"/>
      <c r="R133" s="244"/>
      <c r="S133" s="244"/>
      <c r="T133" s="244"/>
      <c r="U133" s="244"/>
    </row>
    <row r="134" spans="2:21">
      <c r="B134" s="145" t="str">
        <f t="shared" si="21"/>
        <v/>
      </c>
      <c r="C134" s="496">
        <f>IF(D94="","-",+C133+1)</f>
        <v>2048</v>
      </c>
      <c r="D134" s="350">
        <f>IF(F133+SUM(E$100:E133)=D$93,F133,D$93-SUM(E$100:E133))</f>
        <v>0</v>
      </c>
      <c r="E134" s="629">
        <f t="shared" si="26"/>
        <v>0</v>
      </c>
      <c r="F134" s="511">
        <f t="shared" si="27"/>
        <v>0</v>
      </c>
      <c r="G134" s="511">
        <f t="shared" si="28"/>
        <v>0</v>
      </c>
      <c r="H134" s="646">
        <f t="shared" si="29"/>
        <v>0</v>
      </c>
      <c r="I134" s="630">
        <f t="shared" si="30"/>
        <v>0</v>
      </c>
      <c r="J134" s="505">
        <f t="shared" si="25"/>
        <v>0</v>
      </c>
      <c r="K134" s="505"/>
      <c r="L134" s="513"/>
      <c r="M134" s="505">
        <f t="shared" si="31"/>
        <v>0</v>
      </c>
      <c r="N134" s="513"/>
      <c r="O134" s="505">
        <f t="shared" si="32"/>
        <v>0</v>
      </c>
      <c r="P134" s="505">
        <f t="shared" si="33"/>
        <v>0</v>
      </c>
      <c r="Q134" s="244"/>
      <c r="R134" s="244"/>
      <c r="S134" s="244"/>
      <c r="T134" s="244"/>
      <c r="U134" s="244"/>
    </row>
    <row r="135" spans="2:21">
      <c r="B135" s="145" t="str">
        <f t="shared" si="21"/>
        <v/>
      </c>
      <c r="C135" s="496">
        <f>IF(D94="","-",+C134+1)</f>
        <v>2049</v>
      </c>
      <c r="D135" s="350">
        <f>IF(F134+SUM(E$100:E134)=D$93,F134,D$93-SUM(E$100:E134))</f>
        <v>0</v>
      </c>
      <c r="E135" s="629">
        <f t="shared" si="26"/>
        <v>0</v>
      </c>
      <c r="F135" s="511">
        <f t="shared" si="27"/>
        <v>0</v>
      </c>
      <c r="G135" s="511">
        <f t="shared" si="28"/>
        <v>0</v>
      </c>
      <c r="H135" s="646">
        <f t="shared" si="29"/>
        <v>0</v>
      </c>
      <c r="I135" s="630">
        <f t="shared" si="30"/>
        <v>0</v>
      </c>
      <c r="J135" s="505">
        <f t="shared" si="25"/>
        <v>0</v>
      </c>
      <c r="K135" s="505"/>
      <c r="L135" s="513"/>
      <c r="M135" s="505">
        <f t="shared" si="31"/>
        <v>0</v>
      </c>
      <c r="N135" s="513"/>
      <c r="O135" s="505">
        <f t="shared" si="32"/>
        <v>0</v>
      </c>
      <c r="P135" s="505">
        <f t="shared" si="33"/>
        <v>0</v>
      </c>
      <c r="Q135" s="244"/>
      <c r="R135" s="244"/>
      <c r="S135" s="244"/>
      <c r="T135" s="244"/>
      <c r="U135" s="244"/>
    </row>
    <row r="136" spans="2:21">
      <c r="B136" s="145" t="str">
        <f t="shared" si="21"/>
        <v/>
      </c>
      <c r="C136" s="496">
        <f>IF(D94="","-",+C135+1)</f>
        <v>2050</v>
      </c>
      <c r="D136" s="350">
        <f>IF(F135+SUM(E$100:E135)=D$93,F135,D$93-SUM(E$100:E135))</f>
        <v>0</v>
      </c>
      <c r="E136" s="629">
        <f t="shared" si="26"/>
        <v>0</v>
      </c>
      <c r="F136" s="511">
        <f t="shared" si="27"/>
        <v>0</v>
      </c>
      <c r="G136" s="511">
        <f t="shared" si="28"/>
        <v>0</v>
      </c>
      <c r="H136" s="646">
        <f t="shared" si="29"/>
        <v>0</v>
      </c>
      <c r="I136" s="630">
        <f t="shared" si="30"/>
        <v>0</v>
      </c>
      <c r="J136" s="505">
        <f t="shared" si="25"/>
        <v>0</v>
      </c>
      <c r="K136" s="505"/>
      <c r="L136" s="513"/>
      <c r="M136" s="505">
        <f t="shared" si="31"/>
        <v>0</v>
      </c>
      <c r="N136" s="513"/>
      <c r="O136" s="505">
        <f t="shared" si="32"/>
        <v>0</v>
      </c>
      <c r="P136" s="505">
        <f t="shared" si="33"/>
        <v>0</v>
      </c>
      <c r="Q136" s="244"/>
      <c r="R136" s="244"/>
      <c r="S136" s="244"/>
      <c r="T136" s="244"/>
      <c r="U136" s="244"/>
    </row>
    <row r="137" spans="2:21">
      <c r="B137" s="145" t="str">
        <f t="shared" si="21"/>
        <v/>
      </c>
      <c r="C137" s="496">
        <f>IF(D94="","-",+C136+1)</f>
        <v>2051</v>
      </c>
      <c r="D137" s="350">
        <f>IF(F136+SUM(E$100:E136)=D$93,F136,D$93-SUM(E$100:E136))</f>
        <v>0</v>
      </c>
      <c r="E137" s="629">
        <f t="shared" si="26"/>
        <v>0</v>
      </c>
      <c r="F137" s="511">
        <f t="shared" si="27"/>
        <v>0</v>
      </c>
      <c r="G137" s="511">
        <f t="shared" si="28"/>
        <v>0</v>
      </c>
      <c r="H137" s="646">
        <f t="shared" si="29"/>
        <v>0</v>
      </c>
      <c r="I137" s="630">
        <f t="shared" si="30"/>
        <v>0</v>
      </c>
      <c r="J137" s="505">
        <f t="shared" si="25"/>
        <v>0</v>
      </c>
      <c r="K137" s="505"/>
      <c r="L137" s="513"/>
      <c r="M137" s="505">
        <f t="shared" si="31"/>
        <v>0</v>
      </c>
      <c r="N137" s="513"/>
      <c r="O137" s="505">
        <f t="shared" si="32"/>
        <v>0</v>
      </c>
      <c r="P137" s="505">
        <f t="shared" si="33"/>
        <v>0</v>
      </c>
      <c r="Q137" s="244"/>
      <c r="R137" s="244"/>
      <c r="S137" s="244"/>
      <c r="T137" s="244"/>
      <c r="U137" s="244"/>
    </row>
    <row r="138" spans="2:21">
      <c r="B138" s="145" t="str">
        <f t="shared" si="21"/>
        <v/>
      </c>
      <c r="C138" s="496">
        <f>IF(D94="","-",+C137+1)</f>
        <v>2052</v>
      </c>
      <c r="D138" s="350">
        <f>IF(F137+SUM(E$100:E137)=D$93,F137,D$93-SUM(E$100:E137))</f>
        <v>0</v>
      </c>
      <c r="E138" s="629">
        <f t="shared" si="26"/>
        <v>0</v>
      </c>
      <c r="F138" s="511">
        <f t="shared" si="27"/>
        <v>0</v>
      </c>
      <c r="G138" s="511">
        <f t="shared" si="28"/>
        <v>0</v>
      </c>
      <c r="H138" s="646">
        <f t="shared" si="29"/>
        <v>0</v>
      </c>
      <c r="I138" s="630">
        <f t="shared" si="30"/>
        <v>0</v>
      </c>
      <c r="J138" s="505">
        <f t="shared" si="25"/>
        <v>0</v>
      </c>
      <c r="K138" s="505"/>
      <c r="L138" s="513"/>
      <c r="M138" s="505">
        <f t="shared" si="31"/>
        <v>0</v>
      </c>
      <c r="N138" s="513"/>
      <c r="O138" s="505">
        <f t="shared" si="32"/>
        <v>0</v>
      </c>
      <c r="P138" s="505">
        <f t="shared" si="33"/>
        <v>0</v>
      </c>
      <c r="Q138" s="244"/>
      <c r="R138" s="244"/>
      <c r="S138" s="244"/>
      <c r="T138" s="244"/>
      <c r="U138" s="244"/>
    </row>
    <row r="139" spans="2:21">
      <c r="B139" s="145" t="str">
        <f t="shared" si="21"/>
        <v/>
      </c>
      <c r="C139" s="496">
        <f>IF(D94="","-",+C138+1)</f>
        <v>2053</v>
      </c>
      <c r="D139" s="350">
        <f>IF(F138+SUM(E$100:E138)=D$93,F138,D$93-SUM(E$100:E138))</f>
        <v>0</v>
      </c>
      <c r="E139" s="629">
        <f t="shared" si="26"/>
        <v>0</v>
      </c>
      <c r="F139" s="511">
        <f t="shared" si="27"/>
        <v>0</v>
      </c>
      <c r="G139" s="511">
        <f t="shared" si="28"/>
        <v>0</v>
      </c>
      <c r="H139" s="646">
        <f t="shared" si="29"/>
        <v>0</v>
      </c>
      <c r="I139" s="630">
        <f t="shared" si="30"/>
        <v>0</v>
      </c>
      <c r="J139" s="505">
        <f t="shared" si="25"/>
        <v>0</v>
      </c>
      <c r="K139" s="505"/>
      <c r="L139" s="513"/>
      <c r="M139" s="505">
        <f t="shared" si="31"/>
        <v>0</v>
      </c>
      <c r="N139" s="513"/>
      <c r="O139" s="505">
        <f t="shared" si="32"/>
        <v>0</v>
      </c>
      <c r="P139" s="505">
        <f t="shared" si="33"/>
        <v>0</v>
      </c>
      <c r="Q139" s="244"/>
      <c r="R139" s="244"/>
      <c r="S139" s="244"/>
      <c r="T139" s="244"/>
      <c r="U139" s="244"/>
    </row>
    <row r="140" spans="2:21">
      <c r="B140" s="145" t="str">
        <f t="shared" si="21"/>
        <v/>
      </c>
      <c r="C140" s="496">
        <f>IF(D94="","-",+C139+1)</f>
        <v>2054</v>
      </c>
      <c r="D140" s="350">
        <f>IF(F139+SUM(E$100:E139)=D$93,F139,D$93-SUM(E$100:E139))</f>
        <v>0</v>
      </c>
      <c r="E140" s="629">
        <f t="shared" si="26"/>
        <v>0</v>
      </c>
      <c r="F140" s="511">
        <f t="shared" si="27"/>
        <v>0</v>
      </c>
      <c r="G140" s="511">
        <f t="shared" si="28"/>
        <v>0</v>
      </c>
      <c r="H140" s="646">
        <f t="shared" si="29"/>
        <v>0</v>
      </c>
      <c r="I140" s="630">
        <f t="shared" si="30"/>
        <v>0</v>
      </c>
      <c r="J140" s="505">
        <f t="shared" si="25"/>
        <v>0</v>
      </c>
      <c r="K140" s="505"/>
      <c r="L140" s="513"/>
      <c r="M140" s="505">
        <f t="shared" si="31"/>
        <v>0</v>
      </c>
      <c r="N140" s="513"/>
      <c r="O140" s="505">
        <f t="shared" si="32"/>
        <v>0</v>
      </c>
      <c r="P140" s="505">
        <f t="shared" si="33"/>
        <v>0</v>
      </c>
      <c r="Q140" s="244"/>
      <c r="R140" s="244"/>
      <c r="S140" s="244"/>
      <c r="T140" s="244"/>
      <c r="U140" s="244"/>
    </row>
    <row r="141" spans="2:21">
      <c r="B141" s="145" t="str">
        <f t="shared" si="21"/>
        <v/>
      </c>
      <c r="C141" s="496">
        <f>IF(D94="","-",+C140+1)</f>
        <v>2055</v>
      </c>
      <c r="D141" s="350">
        <f>IF(F140+SUM(E$100:E140)=D$93,F140,D$93-SUM(E$100:E140))</f>
        <v>0</v>
      </c>
      <c r="E141" s="629">
        <f t="shared" si="26"/>
        <v>0</v>
      </c>
      <c r="F141" s="511">
        <f t="shared" si="27"/>
        <v>0</v>
      </c>
      <c r="G141" s="511">
        <f t="shared" si="28"/>
        <v>0</v>
      </c>
      <c r="H141" s="646">
        <f t="shared" si="29"/>
        <v>0</v>
      </c>
      <c r="I141" s="630">
        <f t="shared" si="30"/>
        <v>0</v>
      </c>
      <c r="J141" s="505">
        <f t="shared" si="25"/>
        <v>0</v>
      </c>
      <c r="K141" s="505"/>
      <c r="L141" s="513"/>
      <c r="M141" s="505">
        <f t="shared" si="31"/>
        <v>0</v>
      </c>
      <c r="N141" s="513"/>
      <c r="O141" s="505">
        <f t="shared" si="32"/>
        <v>0</v>
      </c>
      <c r="P141" s="505">
        <f t="shared" si="33"/>
        <v>0</v>
      </c>
      <c r="Q141" s="244"/>
      <c r="R141" s="244"/>
      <c r="S141" s="244"/>
      <c r="T141" s="244"/>
      <c r="U141" s="244"/>
    </row>
    <row r="142" spans="2:21">
      <c r="B142" s="145" t="str">
        <f t="shared" si="21"/>
        <v/>
      </c>
      <c r="C142" s="496">
        <f>IF(D94="","-",+C141+1)</f>
        <v>2056</v>
      </c>
      <c r="D142" s="350">
        <f>IF(F141+SUM(E$100:E141)=D$93,F141,D$93-SUM(E$100:E141))</f>
        <v>0</v>
      </c>
      <c r="E142" s="629">
        <f t="shared" si="26"/>
        <v>0</v>
      </c>
      <c r="F142" s="511">
        <f t="shared" si="27"/>
        <v>0</v>
      </c>
      <c r="G142" s="511">
        <f t="shared" si="28"/>
        <v>0</v>
      </c>
      <c r="H142" s="646">
        <f t="shared" si="29"/>
        <v>0</v>
      </c>
      <c r="I142" s="630">
        <f t="shared" si="30"/>
        <v>0</v>
      </c>
      <c r="J142" s="505">
        <f t="shared" si="25"/>
        <v>0</v>
      </c>
      <c r="K142" s="505"/>
      <c r="L142" s="513"/>
      <c r="M142" s="505">
        <f t="shared" si="31"/>
        <v>0</v>
      </c>
      <c r="N142" s="513"/>
      <c r="O142" s="505">
        <f t="shared" si="32"/>
        <v>0</v>
      </c>
      <c r="P142" s="505">
        <f t="shared" si="33"/>
        <v>0</v>
      </c>
      <c r="Q142" s="244"/>
      <c r="R142" s="244"/>
      <c r="S142" s="244"/>
      <c r="T142" s="244"/>
      <c r="U142" s="244"/>
    </row>
    <row r="143" spans="2:21">
      <c r="B143" s="145" t="str">
        <f t="shared" si="21"/>
        <v/>
      </c>
      <c r="C143" s="496">
        <f>IF(D94="","-",+C142+1)</f>
        <v>2057</v>
      </c>
      <c r="D143" s="350">
        <f>IF(F142+SUM(E$100:E142)=D$93,F142,D$93-SUM(E$100:E142))</f>
        <v>0</v>
      </c>
      <c r="E143" s="629">
        <f t="shared" si="26"/>
        <v>0</v>
      </c>
      <c r="F143" s="511">
        <f t="shared" si="27"/>
        <v>0</v>
      </c>
      <c r="G143" s="511">
        <f t="shared" si="28"/>
        <v>0</v>
      </c>
      <c r="H143" s="646">
        <f t="shared" si="29"/>
        <v>0</v>
      </c>
      <c r="I143" s="630">
        <f t="shared" si="30"/>
        <v>0</v>
      </c>
      <c r="J143" s="505">
        <f t="shared" si="25"/>
        <v>0</v>
      </c>
      <c r="K143" s="505"/>
      <c r="L143" s="513"/>
      <c r="M143" s="505">
        <f t="shared" si="31"/>
        <v>0</v>
      </c>
      <c r="N143" s="513"/>
      <c r="O143" s="505">
        <f t="shared" si="32"/>
        <v>0</v>
      </c>
      <c r="P143" s="505">
        <f t="shared" si="33"/>
        <v>0</v>
      </c>
      <c r="Q143" s="244"/>
      <c r="R143" s="244"/>
      <c r="S143" s="244"/>
      <c r="T143" s="244"/>
      <c r="U143" s="244"/>
    </row>
    <row r="144" spans="2:21">
      <c r="B144" s="145" t="str">
        <f t="shared" si="21"/>
        <v/>
      </c>
      <c r="C144" s="496">
        <f>IF(D94="","-",+C143+1)</f>
        <v>2058</v>
      </c>
      <c r="D144" s="350">
        <f>IF(F143+SUM(E$100:E143)=D$93,F143,D$93-SUM(E$100:E143))</f>
        <v>0</v>
      </c>
      <c r="E144" s="629">
        <f t="shared" si="26"/>
        <v>0</v>
      </c>
      <c r="F144" s="511">
        <f t="shared" si="27"/>
        <v>0</v>
      </c>
      <c r="G144" s="511">
        <f t="shared" si="28"/>
        <v>0</v>
      </c>
      <c r="H144" s="646">
        <f t="shared" si="29"/>
        <v>0</v>
      </c>
      <c r="I144" s="630">
        <f t="shared" si="30"/>
        <v>0</v>
      </c>
      <c r="J144" s="505">
        <f t="shared" si="25"/>
        <v>0</v>
      </c>
      <c r="K144" s="505"/>
      <c r="L144" s="513"/>
      <c r="M144" s="505">
        <f t="shared" si="31"/>
        <v>0</v>
      </c>
      <c r="N144" s="513"/>
      <c r="O144" s="505">
        <f t="shared" si="32"/>
        <v>0</v>
      </c>
      <c r="P144" s="505">
        <f t="shared" si="33"/>
        <v>0</v>
      </c>
      <c r="Q144" s="244"/>
      <c r="R144" s="244"/>
      <c r="S144" s="244"/>
      <c r="T144" s="244"/>
      <c r="U144" s="244"/>
    </row>
    <row r="145" spans="2:21">
      <c r="B145" s="145" t="str">
        <f t="shared" si="21"/>
        <v/>
      </c>
      <c r="C145" s="496">
        <f>IF(D94="","-",+C144+1)</f>
        <v>2059</v>
      </c>
      <c r="D145" s="350">
        <f>IF(F144+SUM(E$100:E144)=D$93,F144,D$93-SUM(E$100:E144))</f>
        <v>0</v>
      </c>
      <c r="E145" s="629">
        <f t="shared" si="26"/>
        <v>0</v>
      </c>
      <c r="F145" s="511">
        <f t="shared" si="27"/>
        <v>0</v>
      </c>
      <c r="G145" s="511">
        <f t="shared" si="28"/>
        <v>0</v>
      </c>
      <c r="H145" s="646">
        <f t="shared" si="29"/>
        <v>0</v>
      </c>
      <c r="I145" s="630">
        <f t="shared" si="30"/>
        <v>0</v>
      </c>
      <c r="J145" s="505">
        <f t="shared" si="25"/>
        <v>0</v>
      </c>
      <c r="K145" s="505"/>
      <c r="L145" s="513"/>
      <c r="M145" s="505">
        <f t="shared" si="31"/>
        <v>0</v>
      </c>
      <c r="N145" s="513"/>
      <c r="O145" s="505">
        <f t="shared" si="32"/>
        <v>0</v>
      </c>
      <c r="P145" s="505">
        <f t="shared" si="33"/>
        <v>0</v>
      </c>
      <c r="Q145" s="244"/>
      <c r="R145" s="244"/>
      <c r="S145" s="244"/>
      <c r="T145" s="244"/>
      <c r="U145" s="244"/>
    </row>
    <row r="146" spans="2:21">
      <c r="B146" s="145" t="str">
        <f t="shared" si="21"/>
        <v/>
      </c>
      <c r="C146" s="496">
        <f>IF(D94="","-",+C145+1)</f>
        <v>2060</v>
      </c>
      <c r="D146" s="350">
        <f>IF(F145+SUM(E$100:E145)=D$93,F145,D$93-SUM(E$100:E145))</f>
        <v>0</v>
      </c>
      <c r="E146" s="629">
        <f t="shared" si="26"/>
        <v>0</v>
      </c>
      <c r="F146" s="511">
        <f t="shared" si="27"/>
        <v>0</v>
      </c>
      <c r="G146" s="511">
        <f t="shared" si="28"/>
        <v>0</v>
      </c>
      <c r="H146" s="646">
        <f t="shared" si="29"/>
        <v>0</v>
      </c>
      <c r="I146" s="630">
        <f t="shared" si="30"/>
        <v>0</v>
      </c>
      <c r="J146" s="505">
        <f t="shared" si="25"/>
        <v>0</v>
      </c>
      <c r="K146" s="505"/>
      <c r="L146" s="513"/>
      <c r="M146" s="505">
        <f t="shared" si="31"/>
        <v>0</v>
      </c>
      <c r="N146" s="513"/>
      <c r="O146" s="505">
        <f t="shared" si="32"/>
        <v>0</v>
      </c>
      <c r="P146" s="505">
        <f t="shared" si="33"/>
        <v>0</v>
      </c>
      <c r="Q146" s="244"/>
      <c r="R146" s="244"/>
      <c r="S146" s="244"/>
      <c r="T146" s="244"/>
      <c r="U146" s="244"/>
    </row>
    <row r="147" spans="2:21">
      <c r="B147" s="145" t="str">
        <f t="shared" si="21"/>
        <v/>
      </c>
      <c r="C147" s="496">
        <f>IF(D94="","-",+C146+1)</f>
        <v>2061</v>
      </c>
      <c r="D147" s="350">
        <f>IF(F146+SUM(E$100:E146)=D$93,F146,D$93-SUM(E$100:E146))</f>
        <v>0</v>
      </c>
      <c r="E147" s="629">
        <f t="shared" si="26"/>
        <v>0</v>
      </c>
      <c r="F147" s="511">
        <f t="shared" si="27"/>
        <v>0</v>
      </c>
      <c r="G147" s="511">
        <f t="shared" si="28"/>
        <v>0</v>
      </c>
      <c r="H147" s="646">
        <f t="shared" si="29"/>
        <v>0</v>
      </c>
      <c r="I147" s="630">
        <f t="shared" si="30"/>
        <v>0</v>
      </c>
      <c r="J147" s="505">
        <f t="shared" si="25"/>
        <v>0</v>
      </c>
      <c r="K147" s="505"/>
      <c r="L147" s="513"/>
      <c r="M147" s="505">
        <f t="shared" si="31"/>
        <v>0</v>
      </c>
      <c r="N147" s="513"/>
      <c r="O147" s="505">
        <f t="shared" si="32"/>
        <v>0</v>
      </c>
      <c r="P147" s="505">
        <f t="shared" si="33"/>
        <v>0</v>
      </c>
      <c r="Q147" s="244"/>
      <c r="R147" s="244"/>
      <c r="S147" s="244"/>
      <c r="T147" s="244"/>
      <c r="U147" s="244"/>
    </row>
    <row r="148" spans="2:21">
      <c r="B148" s="145" t="str">
        <f t="shared" si="21"/>
        <v/>
      </c>
      <c r="C148" s="496">
        <f>IF(D94="","-",+C147+1)</f>
        <v>2062</v>
      </c>
      <c r="D148" s="350">
        <f>IF(F147+SUM(E$100:E147)=D$93,F147,D$93-SUM(E$100:E147))</f>
        <v>0</v>
      </c>
      <c r="E148" s="629">
        <f t="shared" si="26"/>
        <v>0</v>
      </c>
      <c r="F148" s="511">
        <f t="shared" si="27"/>
        <v>0</v>
      </c>
      <c r="G148" s="511">
        <f t="shared" si="28"/>
        <v>0</v>
      </c>
      <c r="H148" s="646">
        <f t="shared" si="29"/>
        <v>0</v>
      </c>
      <c r="I148" s="630">
        <f t="shared" si="30"/>
        <v>0</v>
      </c>
      <c r="J148" s="505">
        <f t="shared" si="25"/>
        <v>0</v>
      </c>
      <c r="K148" s="505"/>
      <c r="L148" s="513"/>
      <c r="M148" s="505">
        <f t="shared" si="31"/>
        <v>0</v>
      </c>
      <c r="N148" s="513"/>
      <c r="O148" s="505">
        <f t="shared" si="32"/>
        <v>0</v>
      </c>
      <c r="P148" s="505">
        <f t="shared" si="33"/>
        <v>0</v>
      </c>
      <c r="Q148" s="244"/>
      <c r="R148" s="244"/>
      <c r="S148" s="244"/>
      <c r="T148" s="244"/>
      <c r="U148" s="244"/>
    </row>
    <row r="149" spans="2:21">
      <c r="B149" s="145" t="str">
        <f t="shared" si="21"/>
        <v/>
      </c>
      <c r="C149" s="496">
        <f>IF(D94="","-",+C148+1)</f>
        <v>2063</v>
      </c>
      <c r="D149" s="350">
        <f>IF(F148+SUM(E$100:E148)=D$93,F148,D$93-SUM(E$100:E148))</f>
        <v>0</v>
      </c>
      <c r="E149" s="629">
        <f t="shared" si="26"/>
        <v>0</v>
      </c>
      <c r="F149" s="511">
        <f t="shared" si="27"/>
        <v>0</v>
      </c>
      <c r="G149" s="511">
        <f t="shared" si="28"/>
        <v>0</v>
      </c>
      <c r="H149" s="646">
        <f t="shared" si="29"/>
        <v>0</v>
      </c>
      <c r="I149" s="630">
        <f t="shared" si="30"/>
        <v>0</v>
      </c>
      <c r="J149" s="505">
        <f t="shared" si="25"/>
        <v>0</v>
      </c>
      <c r="K149" s="505"/>
      <c r="L149" s="513"/>
      <c r="M149" s="505">
        <f t="shared" si="31"/>
        <v>0</v>
      </c>
      <c r="N149" s="513"/>
      <c r="O149" s="505">
        <f t="shared" si="32"/>
        <v>0</v>
      </c>
      <c r="P149" s="505">
        <f t="shared" si="33"/>
        <v>0</v>
      </c>
      <c r="Q149" s="244"/>
      <c r="R149" s="244"/>
      <c r="S149" s="244"/>
      <c r="T149" s="244"/>
      <c r="U149" s="244"/>
    </row>
    <row r="150" spans="2:21">
      <c r="B150" s="145" t="str">
        <f t="shared" si="21"/>
        <v/>
      </c>
      <c r="C150" s="496">
        <f>IF(D94="","-",+C149+1)</f>
        <v>2064</v>
      </c>
      <c r="D150" s="350">
        <f>IF(F149+SUM(E$100:E149)=D$93,F149,D$93-SUM(E$100:E149))</f>
        <v>0</v>
      </c>
      <c r="E150" s="629">
        <f t="shared" si="26"/>
        <v>0</v>
      </c>
      <c r="F150" s="511">
        <f t="shared" si="27"/>
        <v>0</v>
      </c>
      <c r="G150" s="511">
        <f t="shared" si="28"/>
        <v>0</v>
      </c>
      <c r="H150" s="646">
        <f t="shared" si="29"/>
        <v>0</v>
      </c>
      <c r="I150" s="630">
        <f t="shared" si="30"/>
        <v>0</v>
      </c>
      <c r="J150" s="505">
        <f t="shared" si="25"/>
        <v>0</v>
      </c>
      <c r="K150" s="505"/>
      <c r="L150" s="513"/>
      <c r="M150" s="505">
        <f t="shared" si="31"/>
        <v>0</v>
      </c>
      <c r="N150" s="513"/>
      <c r="O150" s="505">
        <f t="shared" si="32"/>
        <v>0</v>
      </c>
      <c r="P150" s="505">
        <f t="shared" si="33"/>
        <v>0</v>
      </c>
      <c r="Q150" s="244"/>
      <c r="R150" s="244"/>
      <c r="S150" s="244"/>
      <c r="T150" s="244"/>
      <c r="U150" s="244"/>
    </row>
    <row r="151" spans="2:21">
      <c r="B151" s="145" t="str">
        <f t="shared" si="21"/>
        <v/>
      </c>
      <c r="C151" s="496">
        <f>IF(D94="","-",+C150+1)</f>
        <v>2065</v>
      </c>
      <c r="D151" s="350">
        <f>IF(F150+SUM(E$100:E150)=D$93,F150,D$93-SUM(E$100:E150))</f>
        <v>0</v>
      </c>
      <c r="E151" s="629">
        <f t="shared" si="26"/>
        <v>0</v>
      </c>
      <c r="F151" s="511">
        <f t="shared" si="27"/>
        <v>0</v>
      </c>
      <c r="G151" s="511">
        <f t="shared" si="28"/>
        <v>0</v>
      </c>
      <c r="H151" s="646">
        <f t="shared" si="29"/>
        <v>0</v>
      </c>
      <c r="I151" s="630">
        <f t="shared" si="30"/>
        <v>0</v>
      </c>
      <c r="J151" s="505">
        <f t="shared" si="25"/>
        <v>0</v>
      </c>
      <c r="K151" s="505"/>
      <c r="L151" s="513"/>
      <c r="M151" s="505">
        <f t="shared" si="31"/>
        <v>0</v>
      </c>
      <c r="N151" s="513"/>
      <c r="O151" s="505">
        <f t="shared" si="32"/>
        <v>0</v>
      </c>
      <c r="P151" s="505">
        <f t="shared" si="33"/>
        <v>0</v>
      </c>
      <c r="Q151" s="244"/>
      <c r="R151" s="244"/>
      <c r="S151" s="244"/>
      <c r="T151" s="244"/>
      <c r="U151" s="244"/>
    </row>
    <row r="152" spans="2:21">
      <c r="B152" s="145" t="str">
        <f t="shared" si="21"/>
        <v/>
      </c>
      <c r="C152" s="496">
        <f>IF(D94="","-",+C151+1)</f>
        <v>2066</v>
      </c>
      <c r="D152" s="350">
        <f>IF(F151+SUM(E$100:E151)=D$93,F151,D$93-SUM(E$100:E151))</f>
        <v>0</v>
      </c>
      <c r="E152" s="629">
        <f t="shared" si="26"/>
        <v>0</v>
      </c>
      <c r="F152" s="511">
        <f t="shared" si="27"/>
        <v>0</v>
      </c>
      <c r="G152" s="511">
        <f t="shared" si="28"/>
        <v>0</v>
      </c>
      <c r="H152" s="646">
        <f t="shared" si="29"/>
        <v>0</v>
      </c>
      <c r="I152" s="630">
        <f t="shared" si="30"/>
        <v>0</v>
      </c>
      <c r="J152" s="505">
        <f t="shared" si="25"/>
        <v>0</v>
      </c>
      <c r="K152" s="505"/>
      <c r="L152" s="513"/>
      <c r="M152" s="505">
        <f t="shared" si="31"/>
        <v>0</v>
      </c>
      <c r="N152" s="513"/>
      <c r="O152" s="505">
        <f t="shared" si="32"/>
        <v>0</v>
      </c>
      <c r="P152" s="505">
        <f t="shared" si="33"/>
        <v>0</v>
      </c>
      <c r="Q152" s="244"/>
      <c r="R152" s="244"/>
      <c r="S152" s="244"/>
      <c r="T152" s="244"/>
      <c r="U152" s="244"/>
    </row>
    <row r="153" spans="2:21">
      <c r="B153" s="145" t="str">
        <f t="shared" si="21"/>
        <v/>
      </c>
      <c r="C153" s="496">
        <f>IF(D94="","-",+C152+1)</f>
        <v>2067</v>
      </c>
      <c r="D153" s="350">
        <f>IF(F152+SUM(E$100:E152)=D$93,F152,D$93-SUM(E$100:E152))</f>
        <v>0</v>
      </c>
      <c r="E153" s="629">
        <f t="shared" si="26"/>
        <v>0</v>
      </c>
      <c r="F153" s="511">
        <f t="shared" si="27"/>
        <v>0</v>
      </c>
      <c r="G153" s="511">
        <f t="shared" si="28"/>
        <v>0</v>
      </c>
      <c r="H153" s="646">
        <f t="shared" si="29"/>
        <v>0</v>
      </c>
      <c r="I153" s="630">
        <f t="shared" si="30"/>
        <v>0</v>
      </c>
      <c r="J153" s="505">
        <f t="shared" si="25"/>
        <v>0</v>
      </c>
      <c r="K153" s="505"/>
      <c r="L153" s="513"/>
      <c r="M153" s="505">
        <f t="shared" si="31"/>
        <v>0</v>
      </c>
      <c r="N153" s="513"/>
      <c r="O153" s="505">
        <f t="shared" si="32"/>
        <v>0</v>
      </c>
      <c r="P153" s="505">
        <f t="shared" si="33"/>
        <v>0</v>
      </c>
      <c r="Q153" s="244"/>
      <c r="R153" s="244"/>
      <c r="S153" s="244"/>
      <c r="T153" s="244"/>
      <c r="U153" s="244"/>
    </row>
    <row r="154" spans="2:21">
      <c r="B154" s="145" t="str">
        <f t="shared" si="21"/>
        <v/>
      </c>
      <c r="C154" s="496">
        <f>IF(D94="","-",+C153+1)</f>
        <v>2068</v>
      </c>
      <c r="D154" s="350">
        <f>IF(F153+SUM(E$100:E153)=D$93,F153,D$93-SUM(E$100:E153))</f>
        <v>0</v>
      </c>
      <c r="E154" s="629">
        <f t="shared" si="26"/>
        <v>0</v>
      </c>
      <c r="F154" s="511">
        <f t="shared" si="27"/>
        <v>0</v>
      </c>
      <c r="G154" s="511">
        <f t="shared" si="28"/>
        <v>0</v>
      </c>
      <c r="H154" s="646">
        <f t="shared" si="29"/>
        <v>0</v>
      </c>
      <c r="I154" s="630">
        <f t="shared" si="30"/>
        <v>0</v>
      </c>
      <c r="J154" s="505">
        <f t="shared" si="25"/>
        <v>0</v>
      </c>
      <c r="K154" s="505"/>
      <c r="L154" s="513"/>
      <c r="M154" s="505">
        <f t="shared" si="31"/>
        <v>0</v>
      </c>
      <c r="N154" s="513"/>
      <c r="O154" s="505">
        <f t="shared" si="32"/>
        <v>0</v>
      </c>
      <c r="P154" s="505">
        <f t="shared" si="33"/>
        <v>0</v>
      </c>
      <c r="Q154" s="244"/>
      <c r="R154" s="244"/>
      <c r="S154" s="244"/>
      <c r="T154" s="244"/>
      <c r="U154" s="244"/>
    </row>
    <row r="155" spans="2:21" ht="13.5" thickBot="1">
      <c r="B155" s="145" t="str">
        <f t="shared" si="21"/>
        <v/>
      </c>
      <c r="C155" s="525">
        <f>IF(D94="","-",+C154+1)</f>
        <v>2069</v>
      </c>
      <c r="D155" s="619">
        <f>IF(F154+SUM(E$100:E154)=D$93,F154,D$93-SUM(E$100:E154))</f>
        <v>0</v>
      </c>
      <c r="E155" s="631">
        <f t="shared" si="26"/>
        <v>0</v>
      </c>
      <c r="F155" s="528">
        <f t="shared" si="27"/>
        <v>0</v>
      </c>
      <c r="G155" s="528">
        <f t="shared" si="28"/>
        <v>0</v>
      </c>
      <c r="H155" s="646">
        <f t="shared" si="29"/>
        <v>0</v>
      </c>
      <c r="I155" s="632">
        <f t="shared" si="30"/>
        <v>0</v>
      </c>
      <c r="J155" s="532">
        <f t="shared" si="25"/>
        <v>0</v>
      </c>
      <c r="K155" s="505"/>
      <c r="L155" s="531"/>
      <c r="M155" s="532">
        <f t="shared" si="31"/>
        <v>0</v>
      </c>
      <c r="N155" s="531"/>
      <c r="O155" s="532">
        <f t="shared" si="32"/>
        <v>0</v>
      </c>
      <c r="P155" s="532">
        <f t="shared" si="33"/>
        <v>0</v>
      </c>
      <c r="Q155" s="244"/>
      <c r="R155" s="244"/>
      <c r="S155" s="244"/>
      <c r="T155" s="244"/>
      <c r="U155" s="244"/>
    </row>
    <row r="156" spans="2:21">
      <c r="C156" s="350" t="s">
        <v>75</v>
      </c>
      <c r="D156" s="295"/>
      <c r="E156" s="295">
        <f>SUM(E100:E155)</f>
        <v>20242584.999999996</v>
      </c>
      <c r="F156" s="295"/>
      <c r="G156" s="295"/>
      <c r="H156" s="295">
        <f>SUM(H100:H155)</f>
        <v>53688325.305564374</v>
      </c>
      <c r="I156" s="295">
        <f>SUM(I100:I155)</f>
        <v>53688325.305564374</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0" priority="1" stopIfTrue="1" operator="equal">
      <formula>$I$10</formula>
    </cfRule>
  </conditionalFormatting>
  <conditionalFormatting sqref="C100:C155">
    <cfRule type="cellIs" dxfId="29"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theme="9" tint="0.39997558519241921"/>
  </sheetPr>
  <dimension ref="A1:U163"/>
  <sheetViews>
    <sheetView topLeftCell="A79" zoomScaleNormal="100" zoomScaleSheetLayoutView="78"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12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1581979.7861437595</v>
      </c>
      <c r="P5" s="244"/>
      <c r="R5" s="244"/>
      <c r="S5" s="244"/>
      <c r="T5" s="244"/>
      <c r="U5" s="244"/>
    </row>
    <row r="6" spans="1:21" ht="15.75">
      <c r="C6" s="236"/>
      <c r="D6" s="293"/>
      <c r="E6" s="244"/>
      <c r="F6" s="244"/>
      <c r="G6" s="244"/>
      <c r="H6" s="450"/>
      <c r="I6" s="450"/>
      <c r="J6" s="451"/>
      <c r="K6" s="452" t="s">
        <v>243</v>
      </c>
      <c r="L6" s="453"/>
      <c r="M6" s="279"/>
      <c r="N6" s="454">
        <f>VLOOKUP(I10,C17:I73,6)</f>
        <v>1581979.7861437595</v>
      </c>
      <c r="O6" s="244"/>
      <c r="P6" s="244"/>
      <c r="R6" s="244"/>
      <c r="S6" s="244"/>
      <c r="T6" s="244"/>
      <c r="U6" s="244"/>
    </row>
    <row r="7" spans="1:21" ht="13.5" thickBot="1">
      <c r="C7" s="455" t="s">
        <v>46</v>
      </c>
      <c r="D7" s="456" t="s">
        <v>224</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223</v>
      </c>
      <c r="E9" s="466"/>
      <c r="F9" s="466"/>
      <c r="G9" s="466"/>
      <c r="H9" s="466"/>
      <c r="I9" s="467"/>
      <c r="J9" s="468"/>
      <c r="O9" s="469"/>
      <c r="P9" s="279"/>
      <c r="R9" s="244"/>
      <c r="S9" s="244"/>
      <c r="T9" s="244"/>
      <c r="U9" s="244"/>
    </row>
    <row r="10" spans="1:21">
      <c r="C10" s="470" t="s">
        <v>49</v>
      </c>
      <c r="D10" s="471">
        <v>13254470.189999999</v>
      </c>
      <c r="E10" s="300" t="s">
        <v>50</v>
      </c>
      <c r="F10" s="469"/>
      <c r="G10" s="409"/>
      <c r="H10" s="409"/>
      <c r="I10" s="472">
        <f>+'OKT.WS.F.BPU.ATRR.Projected'!R100</f>
        <v>2020</v>
      </c>
      <c r="J10" s="468"/>
      <c r="K10" s="295" t="s">
        <v>51</v>
      </c>
      <c r="O10" s="279"/>
      <c r="P10" s="279"/>
      <c r="R10" s="244"/>
      <c r="S10" s="244"/>
      <c r="T10" s="244"/>
      <c r="U10" s="244"/>
    </row>
    <row r="11" spans="1:21">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4</v>
      </c>
      <c r="E12" s="473" t="s">
        <v>55</v>
      </c>
      <c r="F12" s="409"/>
      <c r="G12" s="221"/>
      <c r="H12" s="221"/>
      <c r="I12" s="477">
        <f>'OKT.WS.F.BPU.ATRR.Projected'!$F$78</f>
        <v>0.1064171487591708</v>
      </c>
      <c r="J12" s="414"/>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389837.35852941172</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2014</v>
      </c>
      <c r="D17" s="613">
        <v>13254470.189999999</v>
      </c>
      <c r="E17" s="621">
        <v>38215.310782576453</v>
      </c>
      <c r="F17" s="613">
        <v>13216254.879217423</v>
      </c>
      <c r="G17" s="621">
        <v>401752.61137886974</v>
      </c>
      <c r="H17" s="618">
        <v>401752.61137886974</v>
      </c>
      <c r="I17" s="633">
        <v>0</v>
      </c>
      <c r="J17" s="501"/>
      <c r="K17" s="502">
        <f t="shared" ref="K17:K22" si="1">G17</f>
        <v>401752.61137886974</v>
      </c>
      <c r="L17" s="503">
        <f t="shared" ref="L17:L22" si="2">IF(K17&lt;&gt;0,+G17-K17,0)</f>
        <v>0</v>
      </c>
      <c r="M17" s="502">
        <f t="shared" ref="M17:M22" si="3">H17</f>
        <v>401752.61137886974</v>
      </c>
      <c r="N17" s="504">
        <f>IF(M17&lt;&gt;0,+H17-M17,0)</f>
        <v>0</v>
      </c>
      <c r="O17" s="505">
        <f>+N17-L17</f>
        <v>0</v>
      </c>
      <c r="P17" s="279"/>
      <c r="R17" s="244"/>
      <c r="S17" s="244"/>
      <c r="T17" s="244"/>
      <c r="U17" s="244"/>
    </row>
    <row r="18" spans="2:21">
      <c r="B18" s="145" t="str">
        <f t="shared" si="0"/>
        <v/>
      </c>
      <c r="C18" s="496">
        <f>IF(D11="","-",+C17+1)</f>
        <v>2015</v>
      </c>
      <c r="D18" s="615">
        <v>13216254.879217423</v>
      </c>
      <c r="E18" s="614">
        <v>229291.86469545873</v>
      </c>
      <c r="F18" s="615">
        <v>12986963.014521964</v>
      </c>
      <c r="G18" s="614">
        <v>1658212.6960173119</v>
      </c>
      <c r="H18" s="618">
        <v>1658212.6960173119</v>
      </c>
      <c r="I18" s="633">
        <v>0</v>
      </c>
      <c r="J18" s="501"/>
      <c r="K18" s="507">
        <f t="shared" si="1"/>
        <v>1658212.6960173119</v>
      </c>
      <c r="L18" s="508">
        <f t="shared" si="2"/>
        <v>0</v>
      </c>
      <c r="M18" s="507">
        <f t="shared" si="3"/>
        <v>1658212.6960173119</v>
      </c>
      <c r="N18" s="505">
        <f>IF(M18&lt;&gt;0,+H18-M18,0)</f>
        <v>0</v>
      </c>
      <c r="O18" s="505">
        <f>+N18-L18</f>
        <v>0</v>
      </c>
      <c r="P18" s="279"/>
      <c r="R18" s="244"/>
      <c r="S18" s="244"/>
      <c r="T18" s="244"/>
      <c r="U18" s="244"/>
    </row>
    <row r="19" spans="2:21">
      <c r="B19" s="145" t="str">
        <f t="shared" si="0"/>
        <v/>
      </c>
      <c r="C19" s="496">
        <f>IF(D11="","-",+C18+1)</f>
        <v>2016</v>
      </c>
      <c r="D19" s="615">
        <v>12986963.014521964</v>
      </c>
      <c r="E19" s="614">
        <v>229291.86469545873</v>
      </c>
      <c r="F19" s="615">
        <v>12757671.149826504</v>
      </c>
      <c r="G19" s="614">
        <v>1544166.8315919416</v>
      </c>
      <c r="H19" s="618">
        <v>1544166.8315919416</v>
      </c>
      <c r="I19" s="501">
        <v>0</v>
      </c>
      <c r="J19" s="501"/>
      <c r="K19" s="507">
        <f t="shared" si="1"/>
        <v>1544166.8315919416</v>
      </c>
      <c r="L19" s="508">
        <f t="shared" si="2"/>
        <v>0</v>
      </c>
      <c r="M19" s="507">
        <f t="shared" si="3"/>
        <v>1544166.8315919416</v>
      </c>
      <c r="N19" s="505">
        <f>IF(M19&lt;&gt;0,+H19-M19,0)</f>
        <v>0</v>
      </c>
      <c r="O19" s="505">
        <f>+N19-L19</f>
        <v>0</v>
      </c>
      <c r="P19" s="279"/>
      <c r="R19" s="244"/>
      <c r="S19" s="244"/>
      <c r="T19" s="244"/>
      <c r="U19" s="244"/>
    </row>
    <row r="20" spans="2:21">
      <c r="B20" s="145" t="str">
        <f t="shared" si="0"/>
        <v/>
      </c>
      <c r="C20" s="496">
        <f>IF(D11="","-",+C19+1)</f>
        <v>2017</v>
      </c>
      <c r="D20" s="615">
        <v>12757671.149826504</v>
      </c>
      <c r="E20" s="614">
        <v>275420.65562452108</v>
      </c>
      <c r="F20" s="615">
        <v>12482250.494201982</v>
      </c>
      <c r="G20" s="614">
        <v>1622010.458293594</v>
      </c>
      <c r="H20" s="618">
        <v>1622010.458293594</v>
      </c>
      <c r="I20" s="501">
        <f>H20-G20</f>
        <v>0</v>
      </c>
      <c r="J20" s="501"/>
      <c r="K20" s="507">
        <f t="shared" si="1"/>
        <v>1622010.458293594</v>
      </c>
      <c r="L20" s="508">
        <f t="shared" si="2"/>
        <v>0</v>
      </c>
      <c r="M20" s="507">
        <f t="shared" si="3"/>
        <v>1622010.458293594</v>
      </c>
      <c r="N20" s="505">
        <f t="shared" ref="N20:N73" si="4">IF(M20&lt;&gt;0,+H20-M20,0)</f>
        <v>0</v>
      </c>
      <c r="O20" s="505">
        <f t="shared" ref="O20:O73" si="5">+N20-L20</f>
        <v>0</v>
      </c>
      <c r="P20" s="279"/>
      <c r="R20" s="244"/>
      <c r="S20" s="244"/>
      <c r="T20" s="244"/>
      <c r="U20" s="244"/>
    </row>
    <row r="21" spans="2:21">
      <c r="B21" s="145" t="str">
        <f t="shared" si="0"/>
        <v>IU</v>
      </c>
      <c r="C21" s="496">
        <f>IF(D11="","-",+C20+1)</f>
        <v>2018</v>
      </c>
      <c r="D21" s="615">
        <v>12221641.369282497</v>
      </c>
      <c r="E21" s="614">
        <v>325060.34019690572</v>
      </c>
      <c r="F21" s="615">
        <v>11896581.029085591</v>
      </c>
      <c r="G21" s="614">
        <v>1741897.6993738853</v>
      </c>
      <c r="H21" s="618">
        <v>1741897.6993738853</v>
      </c>
      <c r="I21" s="501">
        <f t="shared" ref="I21:I73" si="6">H21-G21</f>
        <v>0</v>
      </c>
      <c r="J21" s="501"/>
      <c r="K21" s="507">
        <f t="shared" si="1"/>
        <v>1741897.6993738853</v>
      </c>
      <c r="L21" s="508">
        <f t="shared" si="2"/>
        <v>0</v>
      </c>
      <c r="M21" s="507">
        <f t="shared" si="3"/>
        <v>1741897.6993738853</v>
      </c>
      <c r="N21" s="505">
        <f>IF(M21&lt;&gt;0,+H21-M21,0)</f>
        <v>0</v>
      </c>
      <c r="O21" s="505">
        <f>+N21-L21</f>
        <v>0</v>
      </c>
      <c r="P21" s="279"/>
      <c r="R21" s="244"/>
      <c r="S21" s="244"/>
      <c r="T21" s="244"/>
      <c r="U21" s="244"/>
    </row>
    <row r="22" spans="2:21">
      <c r="B22" s="145" t="str">
        <f t="shared" si="0"/>
        <v/>
      </c>
      <c r="C22" s="496">
        <f>IF(D11="","-",+C21+1)</f>
        <v>2019</v>
      </c>
      <c r="D22" s="615">
        <v>11896581.029085591</v>
      </c>
      <c r="E22" s="614">
        <v>325060.34019690572</v>
      </c>
      <c r="F22" s="615">
        <v>11571520.688888686</v>
      </c>
      <c r="G22" s="614">
        <v>1703706.0261758706</v>
      </c>
      <c r="H22" s="618">
        <v>1703706.0261758706</v>
      </c>
      <c r="I22" s="501">
        <v>0</v>
      </c>
      <c r="J22" s="501"/>
      <c r="K22" s="507">
        <f t="shared" si="1"/>
        <v>1703706.0261758706</v>
      </c>
      <c r="L22" s="508">
        <f t="shared" si="2"/>
        <v>0</v>
      </c>
      <c r="M22" s="507">
        <f t="shared" si="3"/>
        <v>1703706.0261758706</v>
      </c>
      <c r="N22" s="505">
        <f>IF(M22&lt;&gt;0,+H22-M22,0)</f>
        <v>0</v>
      </c>
      <c r="O22" s="505">
        <f>+N22-L22</f>
        <v>0</v>
      </c>
      <c r="P22" s="279"/>
      <c r="R22" s="244"/>
      <c r="S22" s="244"/>
      <c r="T22" s="244"/>
      <c r="U22" s="244"/>
    </row>
    <row r="23" spans="2:21">
      <c r="B23" s="145" t="str">
        <f t="shared" si="0"/>
        <v/>
      </c>
      <c r="C23" s="496">
        <f>IF(D11="","-",+C22+1)</f>
        <v>2020</v>
      </c>
      <c r="D23" s="615">
        <v>11571520.688888686</v>
      </c>
      <c r="E23" s="614">
        <v>388114.48634834524</v>
      </c>
      <c r="F23" s="615">
        <v>11183406.20254034</v>
      </c>
      <c r="G23" s="614">
        <v>1581979.7861437595</v>
      </c>
      <c r="H23" s="618">
        <v>1581979.7861437595</v>
      </c>
      <c r="I23" s="501">
        <f t="shared" si="6"/>
        <v>0</v>
      </c>
      <c r="J23" s="501"/>
      <c r="K23" s="507">
        <f t="shared" ref="K23" si="7">G23</f>
        <v>1581979.7861437595</v>
      </c>
      <c r="L23" s="508">
        <f t="shared" ref="L23" si="8">IF(K23&lt;&gt;0,+G23-K23,0)</f>
        <v>0</v>
      </c>
      <c r="M23" s="507">
        <f t="shared" ref="M23" si="9">H23</f>
        <v>1581979.7861437595</v>
      </c>
      <c r="N23" s="505">
        <f>IF(M23&lt;&gt;0,+H23-M23,0)</f>
        <v>0</v>
      </c>
      <c r="O23" s="505">
        <f>+N23-L23</f>
        <v>0</v>
      </c>
      <c r="P23" s="279"/>
      <c r="R23" s="244"/>
      <c r="S23" s="244"/>
      <c r="T23" s="244"/>
      <c r="U23" s="244"/>
    </row>
    <row r="24" spans="2:21">
      <c r="B24" s="145" t="str">
        <f t="shared" si="0"/>
        <v>IU</v>
      </c>
      <c r="C24" s="496">
        <f>IF(D11="","-",+C23+1)</f>
        <v>2021</v>
      </c>
      <c r="D24" s="615">
        <v>11075905.172169829</v>
      </c>
      <c r="E24" s="614">
        <v>427563.55451612902</v>
      </c>
      <c r="F24" s="615">
        <v>10648341.6176537</v>
      </c>
      <c r="G24" s="614">
        <v>1602683.1037737736</v>
      </c>
      <c r="H24" s="618">
        <v>1602683.1037737736</v>
      </c>
      <c r="I24" s="501">
        <f t="shared" si="6"/>
        <v>0</v>
      </c>
      <c r="J24" s="501"/>
      <c r="K24" s="507">
        <f t="shared" ref="K24" si="10">G24</f>
        <v>1602683.1037737736</v>
      </c>
      <c r="L24" s="508">
        <f t="shared" ref="L24" si="11">IF(K24&lt;&gt;0,+G24-K24,0)</f>
        <v>0</v>
      </c>
      <c r="M24" s="507">
        <f t="shared" ref="M24" si="12">H24</f>
        <v>1602683.1037737736</v>
      </c>
      <c r="N24" s="505">
        <f t="shared" si="4"/>
        <v>0</v>
      </c>
      <c r="O24" s="505">
        <f t="shared" si="5"/>
        <v>0</v>
      </c>
      <c r="P24" s="279"/>
      <c r="R24" s="244"/>
      <c r="S24" s="244"/>
      <c r="T24" s="244"/>
      <c r="U24" s="244"/>
    </row>
    <row r="25" spans="2:21">
      <c r="B25" s="145" t="str">
        <f t="shared" si="0"/>
        <v>IU</v>
      </c>
      <c r="C25" s="496">
        <f>IF(D11="","-",+C24+1)</f>
        <v>2022</v>
      </c>
      <c r="D25" s="509">
        <f>IF(F24+SUM(E$17:E24)=D$10,F24,D$10-SUM(E$17:E24))</f>
        <v>11016451.772943698</v>
      </c>
      <c r="E25" s="510">
        <f t="shared" ref="E25:E73" si="13">IF(+$I$14&lt;F24,$I$14,D25)</f>
        <v>389837.35852941172</v>
      </c>
      <c r="F25" s="511">
        <f t="shared" ref="F25:F73" si="14">+D25-E25</f>
        <v>10626614.414414287</v>
      </c>
      <c r="G25" s="512">
        <f t="shared" ref="G25:G73" si="15">(D25+F25)/2*I$12+E25</f>
        <v>1541434.0555617388</v>
      </c>
      <c r="H25" s="478">
        <f t="shared" ref="H25:H73" si="16">+(D25+F25)/2*I$13+E25</f>
        <v>1541434.0555617388</v>
      </c>
      <c r="I25" s="501">
        <f t="shared" si="6"/>
        <v>0</v>
      </c>
      <c r="J25" s="501"/>
      <c r="K25" s="513"/>
      <c r="L25" s="505">
        <f t="shared" ref="L25:L73" si="17">IF(K25&lt;&gt;0,+G25-K25,0)</f>
        <v>0</v>
      </c>
      <c r="M25" s="513"/>
      <c r="N25" s="505">
        <f t="shared" si="4"/>
        <v>0</v>
      </c>
      <c r="O25" s="505">
        <f t="shared" si="5"/>
        <v>0</v>
      </c>
      <c r="P25" s="279"/>
      <c r="R25" s="244"/>
      <c r="S25" s="244"/>
      <c r="T25" s="244"/>
      <c r="U25" s="244"/>
    </row>
    <row r="26" spans="2:21">
      <c r="B26" s="145" t="str">
        <f t="shared" si="0"/>
        <v/>
      </c>
      <c r="C26" s="496">
        <f>IF(D11="","-",+C25+1)</f>
        <v>2023</v>
      </c>
      <c r="D26" s="509">
        <f>IF(F25+SUM(E$17:E25)=D$10,F25,D$10-SUM(E$17:E25))</f>
        <v>10626614.414414287</v>
      </c>
      <c r="E26" s="510">
        <f t="shared" si="13"/>
        <v>389837.35852941172</v>
      </c>
      <c r="F26" s="511">
        <f t="shared" si="14"/>
        <v>10236777.055884875</v>
      </c>
      <c r="G26" s="512">
        <f t="shared" si="15"/>
        <v>1499948.6753872323</v>
      </c>
      <c r="H26" s="478">
        <f t="shared" si="16"/>
        <v>1499948.6753872323</v>
      </c>
      <c r="I26" s="501">
        <f t="shared" si="6"/>
        <v>0</v>
      </c>
      <c r="J26" s="501"/>
      <c r="K26" s="513"/>
      <c r="L26" s="505">
        <f t="shared" si="17"/>
        <v>0</v>
      </c>
      <c r="M26" s="513"/>
      <c r="N26" s="505">
        <f t="shared" si="4"/>
        <v>0</v>
      </c>
      <c r="O26" s="505">
        <f t="shared" si="5"/>
        <v>0</v>
      </c>
      <c r="P26" s="279"/>
      <c r="R26" s="244"/>
      <c r="S26" s="244"/>
      <c r="T26" s="244"/>
      <c r="U26" s="244"/>
    </row>
    <row r="27" spans="2:21">
      <c r="B27" s="145" t="str">
        <f t="shared" si="0"/>
        <v/>
      </c>
      <c r="C27" s="496">
        <f>IF(D11="","-",+C26+1)</f>
        <v>2024</v>
      </c>
      <c r="D27" s="509">
        <f>IF(F26+SUM(E$17:E26)=D$10,F26,D$10-SUM(E$17:E26))</f>
        <v>10236777.055884875</v>
      </c>
      <c r="E27" s="510">
        <f t="shared" si="13"/>
        <v>389837.35852941172</v>
      </c>
      <c r="F27" s="511">
        <f t="shared" si="14"/>
        <v>9846939.6973554641</v>
      </c>
      <c r="G27" s="512">
        <f t="shared" si="15"/>
        <v>1458463.2952127256</v>
      </c>
      <c r="H27" s="478">
        <f t="shared" si="16"/>
        <v>1458463.2952127256</v>
      </c>
      <c r="I27" s="501">
        <f t="shared" si="6"/>
        <v>0</v>
      </c>
      <c r="J27" s="501"/>
      <c r="K27" s="513"/>
      <c r="L27" s="505">
        <f t="shared" si="17"/>
        <v>0</v>
      </c>
      <c r="M27" s="513"/>
      <c r="N27" s="505">
        <f t="shared" si="4"/>
        <v>0</v>
      </c>
      <c r="O27" s="505">
        <f t="shared" si="5"/>
        <v>0</v>
      </c>
      <c r="P27" s="279"/>
      <c r="R27" s="244"/>
      <c r="S27" s="244"/>
      <c r="T27" s="244"/>
      <c r="U27" s="244"/>
    </row>
    <row r="28" spans="2:21">
      <c r="B28" s="145" t="str">
        <f t="shared" si="0"/>
        <v/>
      </c>
      <c r="C28" s="496">
        <f>IF(D11="","-",+C27+1)</f>
        <v>2025</v>
      </c>
      <c r="D28" s="509">
        <f>IF(F27+SUM(E$17:E27)=D$10,F27,D$10-SUM(E$17:E27))</f>
        <v>9846939.6973554641</v>
      </c>
      <c r="E28" s="510">
        <f t="shared" si="13"/>
        <v>389837.35852941172</v>
      </c>
      <c r="F28" s="511">
        <f t="shared" si="14"/>
        <v>9457102.3388260528</v>
      </c>
      <c r="G28" s="512">
        <f t="shared" si="15"/>
        <v>1416977.9150382192</v>
      </c>
      <c r="H28" s="478">
        <f t="shared" si="16"/>
        <v>1416977.9150382192</v>
      </c>
      <c r="I28" s="501">
        <f t="shared" si="6"/>
        <v>0</v>
      </c>
      <c r="J28" s="501"/>
      <c r="K28" s="513"/>
      <c r="L28" s="505">
        <f t="shared" si="17"/>
        <v>0</v>
      </c>
      <c r="M28" s="513"/>
      <c r="N28" s="505">
        <f t="shared" si="4"/>
        <v>0</v>
      </c>
      <c r="O28" s="505">
        <f t="shared" si="5"/>
        <v>0</v>
      </c>
      <c r="P28" s="279"/>
      <c r="R28" s="244"/>
      <c r="S28" s="244"/>
      <c r="T28" s="244"/>
      <c r="U28" s="244"/>
    </row>
    <row r="29" spans="2:21">
      <c r="B29" s="145" t="str">
        <f t="shared" si="0"/>
        <v/>
      </c>
      <c r="C29" s="496">
        <f>IF(D11="","-",+C28+1)</f>
        <v>2026</v>
      </c>
      <c r="D29" s="509">
        <f>IF(F28+SUM(E$17:E28)=D$10,F28,D$10-SUM(E$17:E28))</f>
        <v>9457102.3388260528</v>
      </c>
      <c r="E29" s="510">
        <f t="shared" si="13"/>
        <v>389837.35852941172</v>
      </c>
      <c r="F29" s="511">
        <f t="shared" si="14"/>
        <v>9067264.9802966416</v>
      </c>
      <c r="G29" s="512">
        <f t="shared" si="15"/>
        <v>1375492.5348637127</v>
      </c>
      <c r="H29" s="478">
        <f t="shared" si="16"/>
        <v>1375492.5348637127</v>
      </c>
      <c r="I29" s="501">
        <f t="shared" si="6"/>
        <v>0</v>
      </c>
      <c r="J29" s="501"/>
      <c r="K29" s="513"/>
      <c r="L29" s="505">
        <f t="shared" si="17"/>
        <v>0</v>
      </c>
      <c r="M29" s="513"/>
      <c r="N29" s="505">
        <f t="shared" si="4"/>
        <v>0</v>
      </c>
      <c r="O29" s="505">
        <f t="shared" si="5"/>
        <v>0</v>
      </c>
      <c r="P29" s="279"/>
      <c r="R29" s="244"/>
      <c r="S29" s="244"/>
      <c r="T29" s="244"/>
      <c r="U29" s="244"/>
    </row>
    <row r="30" spans="2:21">
      <c r="B30" s="145" t="str">
        <f t="shared" si="0"/>
        <v/>
      </c>
      <c r="C30" s="496">
        <f>IF(D11="","-",+C29+1)</f>
        <v>2027</v>
      </c>
      <c r="D30" s="509">
        <f>IF(F29+SUM(E$17:E29)=D$10,F29,D$10-SUM(E$17:E29))</f>
        <v>9067264.9802966416</v>
      </c>
      <c r="E30" s="510">
        <f t="shared" si="13"/>
        <v>389837.35852941172</v>
      </c>
      <c r="F30" s="511">
        <f t="shared" si="14"/>
        <v>8677427.6217672303</v>
      </c>
      <c r="G30" s="512">
        <f t="shared" si="15"/>
        <v>1334007.154689206</v>
      </c>
      <c r="H30" s="478">
        <f t="shared" si="16"/>
        <v>1334007.154689206</v>
      </c>
      <c r="I30" s="501">
        <f t="shared" si="6"/>
        <v>0</v>
      </c>
      <c r="J30" s="501"/>
      <c r="K30" s="513"/>
      <c r="L30" s="505">
        <f t="shared" si="17"/>
        <v>0</v>
      </c>
      <c r="M30" s="513"/>
      <c r="N30" s="505">
        <f t="shared" si="4"/>
        <v>0</v>
      </c>
      <c r="O30" s="505">
        <f t="shared" si="5"/>
        <v>0</v>
      </c>
      <c r="P30" s="279"/>
      <c r="R30" s="244"/>
      <c r="S30" s="244"/>
      <c r="T30" s="244"/>
      <c r="U30" s="244"/>
    </row>
    <row r="31" spans="2:21">
      <c r="B31" s="145" t="str">
        <f t="shared" si="0"/>
        <v/>
      </c>
      <c r="C31" s="496">
        <f>IF(D11="","-",+C30+1)</f>
        <v>2028</v>
      </c>
      <c r="D31" s="509">
        <f>IF(F30+SUM(E$17:E30)=D$10,F30,D$10-SUM(E$17:E30))</f>
        <v>8677427.6217672303</v>
      </c>
      <c r="E31" s="510">
        <f t="shared" si="13"/>
        <v>389837.35852941172</v>
      </c>
      <c r="F31" s="511">
        <f t="shared" si="14"/>
        <v>8287590.2632378191</v>
      </c>
      <c r="G31" s="512">
        <f t="shared" si="15"/>
        <v>1292521.7745146994</v>
      </c>
      <c r="H31" s="478">
        <f t="shared" si="16"/>
        <v>1292521.7745146994</v>
      </c>
      <c r="I31" s="501">
        <f t="shared" si="6"/>
        <v>0</v>
      </c>
      <c r="J31" s="501"/>
      <c r="K31" s="513"/>
      <c r="L31" s="505">
        <f t="shared" si="17"/>
        <v>0</v>
      </c>
      <c r="M31" s="513"/>
      <c r="N31" s="505">
        <f t="shared" si="4"/>
        <v>0</v>
      </c>
      <c r="O31" s="505">
        <f t="shared" si="5"/>
        <v>0</v>
      </c>
      <c r="P31" s="279"/>
      <c r="Q31" s="221"/>
      <c r="R31" s="279"/>
      <c r="S31" s="279"/>
      <c r="T31" s="279"/>
      <c r="U31" s="244"/>
    </row>
    <row r="32" spans="2:21">
      <c r="B32" s="145" t="str">
        <f t="shared" si="0"/>
        <v/>
      </c>
      <c r="C32" s="496">
        <f>IF(D12="","-",+C31+1)</f>
        <v>2029</v>
      </c>
      <c r="D32" s="509">
        <f>IF(F31+SUM(E$17:E31)=D$10,F31,D$10-SUM(E$17:E31))</f>
        <v>8287590.2632378191</v>
      </c>
      <c r="E32" s="510">
        <f>IF(+$I$14&lt;F31,$I$14,D32)</f>
        <v>389837.35852941172</v>
      </c>
      <c r="F32" s="511">
        <f>+D32-E32</f>
        <v>7897752.9047084078</v>
      </c>
      <c r="G32" s="512">
        <f t="shared" si="15"/>
        <v>1251036.3943401929</v>
      </c>
      <c r="H32" s="478">
        <f t="shared" si="16"/>
        <v>1251036.3943401929</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2030</v>
      </c>
      <c r="D33" s="509">
        <f>IF(F32+SUM(E$17:E32)=D$10,F32,D$10-SUM(E$17:E32))</f>
        <v>7897752.9047084078</v>
      </c>
      <c r="E33" s="510">
        <f>IF(+$I$14&lt;F32,$I$14,D33)</f>
        <v>389837.35852941172</v>
      </c>
      <c r="F33" s="511">
        <f>+D33-E33</f>
        <v>7507915.5461789966</v>
      </c>
      <c r="G33" s="512">
        <f t="shared" si="15"/>
        <v>1209551.0141656864</v>
      </c>
      <c r="H33" s="478">
        <f t="shared" si="16"/>
        <v>1209551.0141656864</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2031</v>
      </c>
      <c r="D34" s="515">
        <f>IF(F33+SUM(E$17:E33)=D$10,F33,D$10-SUM(E$17:E33))</f>
        <v>7507915.5461789966</v>
      </c>
      <c r="E34" s="516">
        <f t="shared" si="13"/>
        <v>389837.35852941172</v>
      </c>
      <c r="F34" s="517">
        <f t="shared" si="14"/>
        <v>7118078.1876495853</v>
      </c>
      <c r="G34" s="512">
        <f t="shared" si="15"/>
        <v>1168065.6339911798</v>
      </c>
      <c r="H34" s="478">
        <f t="shared" si="16"/>
        <v>1168065.6339911798</v>
      </c>
      <c r="I34" s="520">
        <f t="shared" si="6"/>
        <v>0</v>
      </c>
      <c r="J34" s="520"/>
      <c r="K34" s="521"/>
      <c r="L34" s="522">
        <f t="shared" si="17"/>
        <v>0</v>
      </c>
      <c r="M34" s="521"/>
      <c r="N34" s="522">
        <f t="shared" si="4"/>
        <v>0</v>
      </c>
      <c r="O34" s="522">
        <f t="shared" si="5"/>
        <v>0</v>
      </c>
      <c r="P34" s="523"/>
      <c r="Q34" s="217"/>
      <c r="R34" s="523"/>
      <c r="S34" s="523"/>
      <c r="T34" s="523"/>
      <c r="U34" s="244"/>
    </row>
    <row r="35" spans="2:21">
      <c r="B35" s="145" t="str">
        <f t="shared" si="0"/>
        <v/>
      </c>
      <c r="C35" s="496">
        <f>IF(D11="","-",+C34+1)</f>
        <v>2032</v>
      </c>
      <c r="D35" s="509">
        <f>IF(F34+SUM(E$17:E34)=D$10,F34,D$10-SUM(E$17:E34))</f>
        <v>7118078.1876495853</v>
      </c>
      <c r="E35" s="510">
        <f t="shared" si="13"/>
        <v>389837.35852941172</v>
      </c>
      <c r="F35" s="511">
        <f t="shared" si="14"/>
        <v>6728240.8291201741</v>
      </c>
      <c r="G35" s="512">
        <f t="shared" si="15"/>
        <v>1126580.2538166731</v>
      </c>
      <c r="H35" s="478">
        <f t="shared" si="16"/>
        <v>1126580.2538166731</v>
      </c>
      <c r="I35" s="501">
        <f t="shared" si="6"/>
        <v>0</v>
      </c>
      <c r="J35" s="501"/>
      <c r="K35" s="513"/>
      <c r="L35" s="505">
        <f t="shared" si="17"/>
        <v>0</v>
      </c>
      <c r="M35" s="513"/>
      <c r="N35" s="505">
        <f t="shared" si="4"/>
        <v>0</v>
      </c>
      <c r="O35" s="505">
        <f t="shared" si="5"/>
        <v>0</v>
      </c>
      <c r="P35" s="279"/>
      <c r="R35" s="244"/>
      <c r="S35" s="244"/>
      <c r="T35" s="244"/>
      <c r="U35" s="244"/>
    </row>
    <row r="36" spans="2:21">
      <c r="B36" s="145" t="str">
        <f t="shared" si="0"/>
        <v/>
      </c>
      <c r="C36" s="496">
        <f>IF(D11="","-",+C35+1)</f>
        <v>2033</v>
      </c>
      <c r="D36" s="509">
        <f>IF(F35+SUM(E$17:E35)=D$10,F35,D$10-SUM(E$17:E35))</f>
        <v>6728240.8291201741</v>
      </c>
      <c r="E36" s="510">
        <f t="shared" si="13"/>
        <v>389837.35852941172</v>
      </c>
      <c r="F36" s="511">
        <f t="shared" si="14"/>
        <v>6338403.4705907628</v>
      </c>
      <c r="G36" s="512">
        <f t="shared" si="15"/>
        <v>1085094.8736421666</v>
      </c>
      <c r="H36" s="478">
        <f t="shared" si="16"/>
        <v>1085094.8736421666</v>
      </c>
      <c r="I36" s="501">
        <f t="shared" si="6"/>
        <v>0</v>
      </c>
      <c r="J36" s="501"/>
      <c r="K36" s="513"/>
      <c r="L36" s="505">
        <f t="shared" si="17"/>
        <v>0</v>
      </c>
      <c r="M36" s="513"/>
      <c r="N36" s="505">
        <f t="shared" si="4"/>
        <v>0</v>
      </c>
      <c r="O36" s="505">
        <f t="shared" si="5"/>
        <v>0</v>
      </c>
      <c r="P36" s="279"/>
      <c r="R36" s="244"/>
      <c r="S36" s="244"/>
      <c r="T36" s="244"/>
      <c r="U36" s="244"/>
    </row>
    <row r="37" spans="2:21">
      <c r="B37" s="145" t="str">
        <f t="shared" si="0"/>
        <v/>
      </c>
      <c r="C37" s="496">
        <f>IF(D11="","-",+C36+1)</f>
        <v>2034</v>
      </c>
      <c r="D37" s="509">
        <f>IF(F36+SUM(E$17:E36)=D$10,F36,D$10-SUM(E$17:E36))</f>
        <v>6338403.4705907628</v>
      </c>
      <c r="E37" s="510">
        <f t="shared" si="13"/>
        <v>389837.35852941172</v>
      </c>
      <c r="F37" s="511">
        <f t="shared" si="14"/>
        <v>5948566.1120613515</v>
      </c>
      <c r="G37" s="512">
        <f t="shared" si="15"/>
        <v>1043609.4934676602</v>
      </c>
      <c r="H37" s="478">
        <f t="shared" si="16"/>
        <v>1043609.4934676602</v>
      </c>
      <c r="I37" s="501">
        <f t="shared" si="6"/>
        <v>0</v>
      </c>
      <c r="J37" s="501"/>
      <c r="K37" s="513"/>
      <c r="L37" s="505">
        <f t="shared" si="17"/>
        <v>0</v>
      </c>
      <c r="M37" s="513"/>
      <c r="N37" s="505">
        <f t="shared" si="4"/>
        <v>0</v>
      </c>
      <c r="O37" s="505">
        <f t="shared" si="5"/>
        <v>0</v>
      </c>
      <c r="P37" s="279"/>
      <c r="R37" s="244"/>
      <c r="S37" s="244"/>
      <c r="T37" s="244"/>
      <c r="U37" s="244"/>
    </row>
    <row r="38" spans="2:21">
      <c r="B38" s="145" t="str">
        <f t="shared" si="0"/>
        <v/>
      </c>
      <c r="C38" s="496">
        <f>IF(D11="","-",+C37+1)</f>
        <v>2035</v>
      </c>
      <c r="D38" s="509">
        <f>IF(F37+SUM(E$17:E37)=D$10,F37,D$10-SUM(E$17:E37))</f>
        <v>5948566.1120613515</v>
      </c>
      <c r="E38" s="510">
        <f t="shared" si="13"/>
        <v>389837.35852941172</v>
      </c>
      <c r="F38" s="511">
        <f t="shared" si="14"/>
        <v>5558728.7535319403</v>
      </c>
      <c r="G38" s="512">
        <f t="shared" si="15"/>
        <v>1002124.1132931536</v>
      </c>
      <c r="H38" s="478">
        <f t="shared" si="16"/>
        <v>1002124.1132931536</v>
      </c>
      <c r="I38" s="501">
        <f t="shared" si="6"/>
        <v>0</v>
      </c>
      <c r="J38" s="501"/>
      <c r="K38" s="513"/>
      <c r="L38" s="505">
        <f t="shared" si="17"/>
        <v>0</v>
      </c>
      <c r="M38" s="513"/>
      <c r="N38" s="505">
        <f t="shared" si="4"/>
        <v>0</v>
      </c>
      <c r="O38" s="505">
        <f t="shared" si="5"/>
        <v>0</v>
      </c>
      <c r="P38" s="279"/>
      <c r="R38" s="244"/>
      <c r="S38" s="244"/>
      <c r="T38" s="244"/>
      <c r="U38" s="244"/>
    </row>
    <row r="39" spans="2:21">
      <c r="B39" s="145" t="str">
        <f t="shared" si="0"/>
        <v/>
      </c>
      <c r="C39" s="496">
        <f>IF(D11="","-",+C38+1)</f>
        <v>2036</v>
      </c>
      <c r="D39" s="509">
        <f>IF(F38+SUM(E$17:E38)=D$10,F38,D$10-SUM(E$17:E38))</f>
        <v>5558728.7535319403</v>
      </c>
      <c r="E39" s="510">
        <f t="shared" si="13"/>
        <v>389837.35852941172</v>
      </c>
      <c r="F39" s="511">
        <f t="shared" si="14"/>
        <v>5168891.395002529</v>
      </c>
      <c r="G39" s="512">
        <f t="shared" si="15"/>
        <v>960638.73311864701</v>
      </c>
      <c r="H39" s="478">
        <f t="shared" si="16"/>
        <v>960638.73311864701</v>
      </c>
      <c r="I39" s="501">
        <f t="shared" si="6"/>
        <v>0</v>
      </c>
      <c r="J39" s="501"/>
      <c r="K39" s="513"/>
      <c r="L39" s="505">
        <f t="shared" si="17"/>
        <v>0</v>
      </c>
      <c r="M39" s="513"/>
      <c r="N39" s="505">
        <f t="shared" si="4"/>
        <v>0</v>
      </c>
      <c r="O39" s="505">
        <f t="shared" si="5"/>
        <v>0</v>
      </c>
      <c r="P39" s="279"/>
      <c r="R39" s="244"/>
      <c r="S39" s="244"/>
      <c r="T39" s="244"/>
      <c r="U39" s="244"/>
    </row>
    <row r="40" spans="2:21">
      <c r="B40" s="145" t="str">
        <f t="shared" si="0"/>
        <v/>
      </c>
      <c r="C40" s="496">
        <f>IF(D11="","-",+C39+1)</f>
        <v>2037</v>
      </c>
      <c r="D40" s="509">
        <f>IF(F39+SUM(E$17:E39)=D$10,F39,D$10-SUM(E$17:E39))</f>
        <v>5168891.395002529</v>
      </c>
      <c r="E40" s="510">
        <f t="shared" si="13"/>
        <v>389837.35852941172</v>
      </c>
      <c r="F40" s="511">
        <f t="shared" si="14"/>
        <v>4779054.0364731178</v>
      </c>
      <c r="G40" s="512">
        <f t="shared" si="15"/>
        <v>919153.35294414044</v>
      </c>
      <c r="H40" s="478">
        <f t="shared" si="16"/>
        <v>919153.35294414044</v>
      </c>
      <c r="I40" s="501">
        <f t="shared" si="6"/>
        <v>0</v>
      </c>
      <c r="J40" s="501"/>
      <c r="K40" s="513"/>
      <c r="L40" s="505">
        <f t="shared" si="17"/>
        <v>0</v>
      </c>
      <c r="M40" s="513"/>
      <c r="N40" s="505">
        <f t="shared" si="4"/>
        <v>0</v>
      </c>
      <c r="O40" s="505">
        <f t="shared" si="5"/>
        <v>0</v>
      </c>
      <c r="P40" s="279"/>
      <c r="R40" s="244"/>
      <c r="S40" s="244"/>
      <c r="T40" s="244"/>
      <c r="U40" s="244"/>
    </row>
    <row r="41" spans="2:21">
      <c r="B41" s="145" t="str">
        <f t="shared" si="0"/>
        <v/>
      </c>
      <c r="C41" s="496">
        <f>IF(D12="","-",+C40+1)</f>
        <v>2038</v>
      </c>
      <c r="D41" s="509">
        <f>IF(F40+SUM(E$17:E40)=D$10,F40,D$10-SUM(E$17:E40))</f>
        <v>4779054.0364731178</v>
      </c>
      <c r="E41" s="510">
        <f t="shared" si="13"/>
        <v>389837.35852941172</v>
      </c>
      <c r="F41" s="511">
        <f t="shared" si="14"/>
        <v>4389216.6779437065</v>
      </c>
      <c r="G41" s="512">
        <f t="shared" si="15"/>
        <v>877667.97276963387</v>
      </c>
      <c r="H41" s="478">
        <f t="shared" si="16"/>
        <v>877667.97276963387</v>
      </c>
      <c r="I41" s="501">
        <f t="shared" si="6"/>
        <v>0</v>
      </c>
      <c r="J41" s="501"/>
      <c r="K41" s="513"/>
      <c r="L41" s="505">
        <f t="shared" si="17"/>
        <v>0</v>
      </c>
      <c r="M41" s="513"/>
      <c r="N41" s="505">
        <f t="shared" si="4"/>
        <v>0</v>
      </c>
      <c r="O41" s="505">
        <f t="shared" si="5"/>
        <v>0</v>
      </c>
      <c r="P41" s="279"/>
      <c r="R41" s="244"/>
      <c r="S41" s="244"/>
      <c r="T41" s="244"/>
      <c r="U41" s="244"/>
    </row>
    <row r="42" spans="2:21">
      <c r="B42" s="145" t="str">
        <f t="shared" si="0"/>
        <v/>
      </c>
      <c r="C42" s="496">
        <f>IF(D13="","-",+C41+1)</f>
        <v>2039</v>
      </c>
      <c r="D42" s="509">
        <f>IF(F41+SUM(E$17:E41)=D$10,F41,D$10-SUM(E$17:E41))</f>
        <v>4389216.6779437065</v>
      </c>
      <c r="E42" s="510">
        <f t="shared" si="13"/>
        <v>389837.35852941172</v>
      </c>
      <c r="F42" s="511">
        <f t="shared" si="14"/>
        <v>3999379.3194142948</v>
      </c>
      <c r="G42" s="512">
        <f t="shared" si="15"/>
        <v>836182.59259512741</v>
      </c>
      <c r="H42" s="478">
        <f t="shared" si="16"/>
        <v>836182.59259512741</v>
      </c>
      <c r="I42" s="501">
        <f t="shared" si="6"/>
        <v>0</v>
      </c>
      <c r="J42" s="501"/>
      <c r="K42" s="513"/>
      <c r="L42" s="505">
        <f t="shared" si="17"/>
        <v>0</v>
      </c>
      <c r="M42" s="513"/>
      <c r="N42" s="505">
        <f t="shared" si="4"/>
        <v>0</v>
      </c>
      <c r="O42" s="505">
        <f t="shared" si="5"/>
        <v>0</v>
      </c>
      <c r="P42" s="279"/>
      <c r="R42" s="244"/>
      <c r="S42" s="244"/>
      <c r="T42" s="244"/>
      <c r="U42" s="244"/>
    </row>
    <row r="43" spans="2:21">
      <c r="B43" s="145" t="str">
        <f t="shared" si="0"/>
        <v/>
      </c>
      <c r="C43" s="496">
        <f>IF(D11="","-",+C42+1)</f>
        <v>2040</v>
      </c>
      <c r="D43" s="509">
        <f>IF(F42+SUM(E$17:E42)=D$10,F42,D$10-SUM(E$17:E42))</f>
        <v>3999379.3194142948</v>
      </c>
      <c r="E43" s="510">
        <f t="shared" si="13"/>
        <v>389837.35852941172</v>
      </c>
      <c r="F43" s="511">
        <f t="shared" si="14"/>
        <v>3609541.9608848831</v>
      </c>
      <c r="G43" s="512">
        <f t="shared" si="15"/>
        <v>794697.21242062072</v>
      </c>
      <c r="H43" s="478">
        <f t="shared" si="16"/>
        <v>794697.21242062072</v>
      </c>
      <c r="I43" s="501">
        <f t="shared" si="6"/>
        <v>0</v>
      </c>
      <c r="J43" s="501"/>
      <c r="K43" s="513"/>
      <c r="L43" s="505">
        <f t="shared" si="17"/>
        <v>0</v>
      </c>
      <c r="M43" s="513"/>
      <c r="N43" s="505">
        <f t="shared" si="4"/>
        <v>0</v>
      </c>
      <c r="O43" s="505">
        <f t="shared" si="5"/>
        <v>0</v>
      </c>
      <c r="P43" s="279"/>
      <c r="R43" s="244"/>
      <c r="S43" s="244"/>
      <c r="T43" s="244"/>
      <c r="U43" s="244"/>
    </row>
    <row r="44" spans="2:21">
      <c r="B44" s="145" t="str">
        <f t="shared" si="0"/>
        <v/>
      </c>
      <c r="C44" s="496">
        <f>IF(D11="","-",+C43+1)</f>
        <v>2041</v>
      </c>
      <c r="D44" s="509">
        <f>IF(F43+SUM(E$17:E43)=D$10,F43,D$10-SUM(E$17:E43))</f>
        <v>3609541.9608848831</v>
      </c>
      <c r="E44" s="510">
        <f t="shared" si="13"/>
        <v>389837.35852941172</v>
      </c>
      <c r="F44" s="511">
        <f t="shared" si="14"/>
        <v>3219704.6023554713</v>
      </c>
      <c r="G44" s="512">
        <f t="shared" si="15"/>
        <v>753211.83224611403</v>
      </c>
      <c r="H44" s="478">
        <f t="shared" si="16"/>
        <v>753211.83224611403</v>
      </c>
      <c r="I44" s="501">
        <f t="shared" si="6"/>
        <v>0</v>
      </c>
      <c r="J44" s="501"/>
      <c r="K44" s="513"/>
      <c r="L44" s="505">
        <f t="shared" si="17"/>
        <v>0</v>
      </c>
      <c r="M44" s="513"/>
      <c r="N44" s="505">
        <f t="shared" si="4"/>
        <v>0</v>
      </c>
      <c r="O44" s="505">
        <f t="shared" si="5"/>
        <v>0</v>
      </c>
      <c r="P44" s="279"/>
      <c r="R44" s="244"/>
      <c r="S44" s="244"/>
      <c r="T44" s="244"/>
      <c r="U44" s="244"/>
    </row>
    <row r="45" spans="2:21">
      <c r="B45" s="145" t="str">
        <f t="shared" si="0"/>
        <v/>
      </c>
      <c r="C45" s="496">
        <f>IF(D11="","-",+C44+1)</f>
        <v>2042</v>
      </c>
      <c r="D45" s="509">
        <f>IF(F44+SUM(E$17:E44)=D$10,F44,D$10-SUM(E$17:E44))</f>
        <v>3219704.6023554713</v>
      </c>
      <c r="E45" s="510">
        <f t="shared" si="13"/>
        <v>389837.35852941172</v>
      </c>
      <c r="F45" s="511">
        <f t="shared" si="14"/>
        <v>2829867.2438260596</v>
      </c>
      <c r="G45" s="512">
        <f t="shared" si="15"/>
        <v>711726.45207160746</v>
      </c>
      <c r="H45" s="478">
        <f t="shared" si="16"/>
        <v>711726.45207160746</v>
      </c>
      <c r="I45" s="501">
        <f t="shared" si="6"/>
        <v>0</v>
      </c>
      <c r="J45" s="501"/>
      <c r="K45" s="513"/>
      <c r="L45" s="505">
        <f t="shared" si="17"/>
        <v>0</v>
      </c>
      <c r="M45" s="513"/>
      <c r="N45" s="505">
        <f t="shared" si="4"/>
        <v>0</v>
      </c>
      <c r="O45" s="505">
        <f t="shared" si="5"/>
        <v>0</v>
      </c>
      <c r="P45" s="279"/>
      <c r="R45" s="244"/>
      <c r="S45" s="244"/>
      <c r="T45" s="244"/>
      <c r="U45" s="244"/>
    </row>
    <row r="46" spans="2:21">
      <c r="B46" s="145" t="str">
        <f t="shared" si="0"/>
        <v/>
      </c>
      <c r="C46" s="496">
        <f>IF(D11="","-",+C45+1)</f>
        <v>2043</v>
      </c>
      <c r="D46" s="509">
        <f>IF(F45+SUM(E$17:E45)=D$10,F45,D$10-SUM(E$17:E45))</f>
        <v>2829867.2438260596</v>
      </c>
      <c r="E46" s="510">
        <f t="shared" si="13"/>
        <v>389837.35852941172</v>
      </c>
      <c r="F46" s="511">
        <f t="shared" si="14"/>
        <v>2440029.8852966479</v>
      </c>
      <c r="G46" s="512">
        <f t="shared" si="15"/>
        <v>670241.07189710089</v>
      </c>
      <c r="H46" s="478">
        <f t="shared" si="16"/>
        <v>670241.07189710089</v>
      </c>
      <c r="I46" s="501">
        <f t="shared" si="6"/>
        <v>0</v>
      </c>
      <c r="J46" s="501"/>
      <c r="K46" s="513"/>
      <c r="L46" s="505">
        <f t="shared" si="17"/>
        <v>0</v>
      </c>
      <c r="M46" s="513"/>
      <c r="N46" s="505">
        <f t="shared" si="4"/>
        <v>0</v>
      </c>
      <c r="O46" s="505">
        <f t="shared" si="5"/>
        <v>0</v>
      </c>
      <c r="P46" s="279"/>
      <c r="R46" s="244"/>
      <c r="S46" s="244"/>
      <c r="T46" s="244"/>
      <c r="U46" s="244"/>
    </row>
    <row r="47" spans="2:21">
      <c r="B47" s="145" t="str">
        <f t="shared" si="0"/>
        <v/>
      </c>
      <c r="C47" s="496">
        <f>IF(D11="","-",+C46+1)</f>
        <v>2044</v>
      </c>
      <c r="D47" s="509">
        <f>IF(F46+SUM(E$17:E46)=D$10,F46,D$10-SUM(E$17:E46))</f>
        <v>2440029.8852966479</v>
      </c>
      <c r="E47" s="510">
        <f t="shared" si="13"/>
        <v>389837.35852941172</v>
      </c>
      <c r="F47" s="511">
        <f t="shared" si="14"/>
        <v>2050192.5267672362</v>
      </c>
      <c r="G47" s="512">
        <f t="shared" si="15"/>
        <v>628755.6917225942</v>
      </c>
      <c r="H47" s="478">
        <f t="shared" si="16"/>
        <v>628755.6917225942</v>
      </c>
      <c r="I47" s="501">
        <f t="shared" si="6"/>
        <v>0</v>
      </c>
      <c r="J47" s="501"/>
      <c r="K47" s="513"/>
      <c r="L47" s="505">
        <f t="shared" si="17"/>
        <v>0</v>
      </c>
      <c r="M47" s="513"/>
      <c r="N47" s="505">
        <f t="shared" si="4"/>
        <v>0</v>
      </c>
      <c r="O47" s="505">
        <f t="shared" si="5"/>
        <v>0</v>
      </c>
      <c r="P47" s="279"/>
      <c r="R47" s="244"/>
      <c r="S47" s="244"/>
      <c r="T47" s="244"/>
      <c r="U47" s="244"/>
    </row>
    <row r="48" spans="2:21">
      <c r="B48" s="145" t="str">
        <f t="shared" si="0"/>
        <v/>
      </c>
      <c r="C48" s="496">
        <f>IF(D11="","-",+C47+1)</f>
        <v>2045</v>
      </c>
      <c r="D48" s="509">
        <f>IF(F47+SUM(E$17:E47)=D$10,F47,D$10-SUM(E$17:E47))</f>
        <v>2050192.5267672362</v>
      </c>
      <c r="E48" s="510">
        <f t="shared" si="13"/>
        <v>389837.35852941172</v>
      </c>
      <c r="F48" s="511">
        <f t="shared" si="14"/>
        <v>1660355.1682378245</v>
      </c>
      <c r="G48" s="512">
        <f t="shared" si="15"/>
        <v>587270.31154808763</v>
      </c>
      <c r="H48" s="478">
        <f t="shared" si="16"/>
        <v>587270.31154808763</v>
      </c>
      <c r="I48" s="501">
        <f t="shared" si="6"/>
        <v>0</v>
      </c>
      <c r="J48" s="501"/>
      <c r="K48" s="513"/>
      <c r="L48" s="505">
        <f t="shared" si="17"/>
        <v>0</v>
      </c>
      <c r="M48" s="513"/>
      <c r="N48" s="505">
        <f t="shared" si="4"/>
        <v>0</v>
      </c>
      <c r="O48" s="505">
        <f t="shared" si="5"/>
        <v>0</v>
      </c>
      <c r="P48" s="279"/>
      <c r="R48" s="244"/>
      <c r="S48" s="244"/>
      <c r="T48" s="244"/>
      <c r="U48" s="244"/>
    </row>
    <row r="49" spans="2:21">
      <c r="B49" s="145" t="str">
        <f t="shared" si="0"/>
        <v/>
      </c>
      <c r="C49" s="496">
        <f>IF(D11="","-",+C48+1)</f>
        <v>2046</v>
      </c>
      <c r="D49" s="509">
        <f>IF(F48+SUM(E$17:E48)=D$10,F48,D$10-SUM(E$17:E48))</f>
        <v>1660355.1682378245</v>
      </c>
      <c r="E49" s="510">
        <f t="shared" si="13"/>
        <v>389837.35852941172</v>
      </c>
      <c r="F49" s="511">
        <f t="shared" si="14"/>
        <v>1270517.8097084127</v>
      </c>
      <c r="G49" s="512">
        <f t="shared" si="15"/>
        <v>545784.93137358106</v>
      </c>
      <c r="H49" s="478">
        <f t="shared" si="16"/>
        <v>545784.93137358106</v>
      </c>
      <c r="I49" s="501">
        <f t="shared" si="6"/>
        <v>0</v>
      </c>
      <c r="J49" s="501"/>
      <c r="K49" s="513"/>
      <c r="L49" s="505">
        <f t="shared" si="17"/>
        <v>0</v>
      </c>
      <c r="M49" s="513"/>
      <c r="N49" s="505">
        <f t="shared" si="4"/>
        <v>0</v>
      </c>
      <c r="O49" s="505">
        <f t="shared" si="5"/>
        <v>0</v>
      </c>
      <c r="P49" s="279"/>
      <c r="R49" s="244"/>
      <c r="S49" s="244"/>
      <c r="T49" s="244"/>
      <c r="U49" s="244"/>
    </row>
    <row r="50" spans="2:21">
      <c r="B50" s="145" t="str">
        <f t="shared" si="0"/>
        <v/>
      </c>
      <c r="C50" s="496">
        <f>IF(D11="","-",+C49+1)</f>
        <v>2047</v>
      </c>
      <c r="D50" s="509">
        <f>IF(F49+SUM(E$17:E49)=D$10,F49,D$10-SUM(E$17:E49))</f>
        <v>1270517.8097084127</v>
      </c>
      <c r="E50" s="510">
        <f t="shared" si="13"/>
        <v>389837.35852941172</v>
      </c>
      <c r="F50" s="511">
        <f t="shared" si="14"/>
        <v>880680.45117900101</v>
      </c>
      <c r="G50" s="512">
        <f t="shared" si="15"/>
        <v>504299.55119907443</v>
      </c>
      <c r="H50" s="478">
        <f t="shared" si="16"/>
        <v>504299.55119907443</v>
      </c>
      <c r="I50" s="501">
        <f t="shared" si="6"/>
        <v>0</v>
      </c>
      <c r="J50" s="501"/>
      <c r="K50" s="513"/>
      <c r="L50" s="505">
        <f t="shared" si="17"/>
        <v>0</v>
      </c>
      <c r="M50" s="513"/>
      <c r="N50" s="505">
        <f t="shared" si="4"/>
        <v>0</v>
      </c>
      <c r="O50" s="505">
        <f t="shared" si="5"/>
        <v>0</v>
      </c>
      <c r="P50" s="279"/>
      <c r="R50" s="244"/>
      <c r="S50" s="244"/>
      <c r="T50" s="244"/>
      <c r="U50" s="244"/>
    </row>
    <row r="51" spans="2:21">
      <c r="B51" s="145" t="str">
        <f t="shared" si="0"/>
        <v/>
      </c>
      <c r="C51" s="496">
        <f>IF(D11="","-",+C50+1)</f>
        <v>2048</v>
      </c>
      <c r="D51" s="509">
        <f>IF(F50+SUM(E$17:E50)=D$10,F50,D$10-SUM(E$17:E50))</f>
        <v>880680.45117900101</v>
      </c>
      <c r="E51" s="510">
        <f t="shared" si="13"/>
        <v>389837.35852941172</v>
      </c>
      <c r="F51" s="511">
        <f t="shared" si="14"/>
        <v>490843.09264958929</v>
      </c>
      <c r="G51" s="512">
        <f t="shared" si="15"/>
        <v>462814.1710245678</v>
      </c>
      <c r="H51" s="478">
        <f t="shared" si="16"/>
        <v>462814.1710245678</v>
      </c>
      <c r="I51" s="501">
        <f t="shared" si="6"/>
        <v>0</v>
      </c>
      <c r="J51" s="501"/>
      <c r="K51" s="513"/>
      <c r="L51" s="505">
        <f t="shared" si="17"/>
        <v>0</v>
      </c>
      <c r="M51" s="513"/>
      <c r="N51" s="505">
        <f t="shared" si="4"/>
        <v>0</v>
      </c>
      <c r="O51" s="505">
        <f t="shared" si="5"/>
        <v>0</v>
      </c>
      <c r="P51" s="279"/>
      <c r="R51" s="244"/>
      <c r="S51" s="244"/>
      <c r="T51" s="244"/>
      <c r="U51" s="244"/>
    </row>
    <row r="52" spans="2:21">
      <c r="B52" s="145" t="str">
        <f t="shared" si="0"/>
        <v/>
      </c>
      <c r="C52" s="496">
        <f>IF(D11="","-",+C51+1)</f>
        <v>2049</v>
      </c>
      <c r="D52" s="509">
        <f>IF(F51+SUM(E$17:E51)=D$10,F51,D$10-SUM(E$17:E51))</f>
        <v>490843.09264958929</v>
      </c>
      <c r="E52" s="510">
        <f t="shared" si="13"/>
        <v>389837.35852941172</v>
      </c>
      <c r="F52" s="511">
        <f t="shared" si="14"/>
        <v>101005.73412017757</v>
      </c>
      <c r="G52" s="512">
        <f t="shared" si="15"/>
        <v>421328.79085006122</v>
      </c>
      <c r="H52" s="478">
        <f t="shared" si="16"/>
        <v>421328.79085006122</v>
      </c>
      <c r="I52" s="501">
        <f t="shared" si="6"/>
        <v>0</v>
      </c>
      <c r="J52" s="501"/>
      <c r="K52" s="513"/>
      <c r="L52" s="505">
        <f t="shared" si="17"/>
        <v>0</v>
      </c>
      <c r="M52" s="513"/>
      <c r="N52" s="505">
        <f t="shared" si="4"/>
        <v>0</v>
      </c>
      <c r="O52" s="505">
        <f t="shared" si="5"/>
        <v>0</v>
      </c>
      <c r="P52" s="279"/>
      <c r="R52" s="244"/>
      <c r="S52" s="244"/>
      <c r="T52" s="244"/>
      <c r="U52" s="244"/>
    </row>
    <row r="53" spans="2:21">
      <c r="B53" s="145" t="str">
        <f t="shared" si="0"/>
        <v/>
      </c>
      <c r="C53" s="496">
        <f>IF(D11="","-",+C52+1)</f>
        <v>2050</v>
      </c>
      <c r="D53" s="509">
        <f>IF(F52+SUM(E$17:E52)=D$10,F52,D$10-SUM(E$17:E52))</f>
        <v>101005.73412017757</v>
      </c>
      <c r="E53" s="510">
        <f t="shared" si="13"/>
        <v>101005.73412017757</v>
      </c>
      <c r="F53" s="511">
        <f t="shared" si="14"/>
        <v>0</v>
      </c>
      <c r="G53" s="512">
        <f t="shared" si="15"/>
        <v>106380.10523687566</v>
      </c>
      <c r="H53" s="478">
        <f t="shared" si="16"/>
        <v>106380.10523687566</v>
      </c>
      <c r="I53" s="501">
        <f t="shared" si="6"/>
        <v>0</v>
      </c>
      <c r="J53" s="501"/>
      <c r="K53" s="513"/>
      <c r="L53" s="505">
        <f t="shared" si="17"/>
        <v>0</v>
      </c>
      <c r="M53" s="513"/>
      <c r="N53" s="505">
        <f t="shared" si="4"/>
        <v>0</v>
      </c>
      <c r="O53" s="505">
        <f t="shared" si="5"/>
        <v>0</v>
      </c>
      <c r="P53" s="279"/>
      <c r="R53" s="244"/>
      <c r="S53" s="244"/>
      <c r="T53" s="244"/>
      <c r="U53" s="244"/>
    </row>
    <row r="54" spans="2:21">
      <c r="B54" s="145" t="str">
        <f t="shared" si="0"/>
        <v/>
      </c>
      <c r="C54" s="496">
        <f>IF(D11="","-",+C53+1)</f>
        <v>2051</v>
      </c>
      <c r="D54" s="509">
        <f>IF(F53+SUM(E$17:E53)=D$10,F53,D$10-SUM(E$17:E53))</f>
        <v>0</v>
      </c>
      <c r="E54" s="510">
        <f t="shared" si="13"/>
        <v>0</v>
      </c>
      <c r="F54" s="511">
        <f t="shared" si="14"/>
        <v>0</v>
      </c>
      <c r="G54" s="512">
        <f t="shared" si="15"/>
        <v>0</v>
      </c>
      <c r="H54" s="478">
        <f t="shared" si="16"/>
        <v>0</v>
      </c>
      <c r="I54" s="501">
        <f t="shared" si="6"/>
        <v>0</v>
      </c>
      <c r="J54" s="501"/>
      <c r="K54" s="513"/>
      <c r="L54" s="505">
        <f t="shared" si="17"/>
        <v>0</v>
      </c>
      <c r="M54" s="513"/>
      <c r="N54" s="505">
        <f t="shared" si="4"/>
        <v>0</v>
      </c>
      <c r="O54" s="505">
        <f t="shared" si="5"/>
        <v>0</v>
      </c>
      <c r="P54" s="279"/>
      <c r="R54" s="244"/>
      <c r="S54" s="244"/>
      <c r="T54" s="244"/>
      <c r="U54" s="244"/>
    </row>
    <row r="55" spans="2:21">
      <c r="B55" s="145" t="str">
        <f t="shared" si="0"/>
        <v/>
      </c>
      <c r="C55" s="496">
        <f>IF(D11="","-",+C54+1)</f>
        <v>2052</v>
      </c>
      <c r="D55" s="509">
        <f>IF(F54+SUM(E$17:E54)=D$10,F54,D$10-SUM(E$17:E54))</f>
        <v>0</v>
      </c>
      <c r="E55" s="510">
        <f t="shared" si="13"/>
        <v>0</v>
      </c>
      <c r="F55" s="511">
        <f t="shared" si="14"/>
        <v>0</v>
      </c>
      <c r="G55" s="512">
        <f t="shared" si="15"/>
        <v>0</v>
      </c>
      <c r="H55" s="478">
        <f t="shared" si="16"/>
        <v>0</v>
      </c>
      <c r="I55" s="501">
        <f t="shared" si="6"/>
        <v>0</v>
      </c>
      <c r="J55" s="501"/>
      <c r="K55" s="513"/>
      <c r="L55" s="505">
        <f t="shared" si="17"/>
        <v>0</v>
      </c>
      <c r="M55" s="513"/>
      <c r="N55" s="505">
        <f t="shared" si="4"/>
        <v>0</v>
      </c>
      <c r="O55" s="505">
        <f t="shared" si="5"/>
        <v>0</v>
      </c>
      <c r="P55" s="279"/>
      <c r="R55" s="244"/>
      <c r="S55" s="244"/>
      <c r="T55" s="244"/>
      <c r="U55" s="244"/>
    </row>
    <row r="56" spans="2:21">
      <c r="B56" s="145" t="str">
        <f t="shared" si="0"/>
        <v/>
      </c>
      <c r="C56" s="496">
        <f>IF(D11="","-",+C55+1)</f>
        <v>2053</v>
      </c>
      <c r="D56" s="509">
        <f>IF(F55+SUM(E$17:E55)=D$10,F55,D$10-SUM(E$17:E55))</f>
        <v>0</v>
      </c>
      <c r="E56" s="510">
        <f t="shared" si="13"/>
        <v>0</v>
      </c>
      <c r="F56" s="511">
        <f t="shared" si="14"/>
        <v>0</v>
      </c>
      <c r="G56" s="512">
        <f t="shared" si="15"/>
        <v>0</v>
      </c>
      <c r="H56" s="478">
        <f t="shared" si="16"/>
        <v>0</v>
      </c>
      <c r="I56" s="501">
        <f t="shared" si="6"/>
        <v>0</v>
      </c>
      <c r="J56" s="501"/>
      <c r="K56" s="513"/>
      <c r="L56" s="505">
        <f t="shared" si="17"/>
        <v>0</v>
      </c>
      <c r="M56" s="513"/>
      <c r="N56" s="505">
        <f t="shared" si="4"/>
        <v>0</v>
      </c>
      <c r="O56" s="505">
        <f t="shared" si="5"/>
        <v>0</v>
      </c>
      <c r="P56" s="279"/>
      <c r="R56" s="244"/>
      <c r="S56" s="244"/>
      <c r="T56" s="244"/>
      <c r="U56" s="244"/>
    </row>
    <row r="57" spans="2:21">
      <c r="B57" s="145" t="str">
        <f t="shared" si="0"/>
        <v/>
      </c>
      <c r="C57" s="496">
        <f>IF(D11="","-",+C56+1)</f>
        <v>2054</v>
      </c>
      <c r="D57" s="509">
        <f>IF(F56+SUM(E$17:E56)=D$10,F56,D$10-SUM(E$17:E56))</f>
        <v>0</v>
      </c>
      <c r="E57" s="510">
        <f t="shared" si="13"/>
        <v>0</v>
      </c>
      <c r="F57" s="511">
        <f t="shared" si="14"/>
        <v>0</v>
      </c>
      <c r="G57" s="512">
        <f t="shared" si="15"/>
        <v>0</v>
      </c>
      <c r="H57" s="478">
        <f t="shared" si="16"/>
        <v>0</v>
      </c>
      <c r="I57" s="501">
        <f t="shared" si="6"/>
        <v>0</v>
      </c>
      <c r="J57" s="501"/>
      <c r="K57" s="513"/>
      <c r="L57" s="505">
        <f t="shared" si="17"/>
        <v>0</v>
      </c>
      <c r="M57" s="513"/>
      <c r="N57" s="505">
        <f t="shared" si="4"/>
        <v>0</v>
      </c>
      <c r="O57" s="505">
        <f t="shared" si="5"/>
        <v>0</v>
      </c>
      <c r="P57" s="279"/>
      <c r="R57" s="244"/>
      <c r="S57" s="244"/>
      <c r="T57" s="244"/>
      <c r="U57" s="244"/>
    </row>
    <row r="58" spans="2:21">
      <c r="B58" s="145" t="str">
        <f t="shared" si="0"/>
        <v/>
      </c>
      <c r="C58" s="496">
        <f>IF(D11="","-",+C57+1)</f>
        <v>2055</v>
      </c>
      <c r="D58" s="509">
        <f>IF(F57+SUM(E$17:E57)=D$10,F57,D$10-SUM(E$17:E57))</f>
        <v>0</v>
      </c>
      <c r="E58" s="510">
        <f t="shared" si="13"/>
        <v>0</v>
      </c>
      <c r="F58" s="511">
        <f t="shared" si="14"/>
        <v>0</v>
      </c>
      <c r="G58" s="512">
        <f t="shared" si="15"/>
        <v>0</v>
      </c>
      <c r="H58" s="478">
        <f t="shared" si="16"/>
        <v>0</v>
      </c>
      <c r="I58" s="501">
        <f t="shared" si="6"/>
        <v>0</v>
      </c>
      <c r="J58" s="501"/>
      <c r="K58" s="513"/>
      <c r="L58" s="505">
        <f t="shared" si="17"/>
        <v>0</v>
      </c>
      <c r="M58" s="513"/>
      <c r="N58" s="505">
        <f t="shared" si="4"/>
        <v>0</v>
      </c>
      <c r="O58" s="505">
        <f t="shared" si="5"/>
        <v>0</v>
      </c>
      <c r="P58" s="279"/>
      <c r="R58" s="244"/>
      <c r="S58" s="244"/>
      <c r="T58" s="244"/>
      <c r="U58" s="244"/>
    </row>
    <row r="59" spans="2:21">
      <c r="B59" s="145" t="str">
        <f t="shared" si="0"/>
        <v/>
      </c>
      <c r="C59" s="496">
        <f>IF(D11="","-",+C58+1)</f>
        <v>2056</v>
      </c>
      <c r="D59" s="509">
        <f>IF(F58+SUM(E$17:E58)=D$10,F58,D$10-SUM(E$17:E58))</f>
        <v>0</v>
      </c>
      <c r="E59" s="510">
        <f t="shared" si="13"/>
        <v>0</v>
      </c>
      <c r="F59" s="511">
        <f t="shared" si="14"/>
        <v>0</v>
      </c>
      <c r="G59" s="512">
        <f t="shared" si="15"/>
        <v>0</v>
      </c>
      <c r="H59" s="478">
        <f t="shared" si="16"/>
        <v>0</v>
      </c>
      <c r="I59" s="501">
        <f t="shared" si="6"/>
        <v>0</v>
      </c>
      <c r="J59" s="501"/>
      <c r="K59" s="513"/>
      <c r="L59" s="505">
        <f t="shared" si="17"/>
        <v>0</v>
      </c>
      <c r="M59" s="513"/>
      <c r="N59" s="505">
        <f t="shared" si="4"/>
        <v>0</v>
      </c>
      <c r="O59" s="505">
        <f t="shared" si="5"/>
        <v>0</v>
      </c>
      <c r="P59" s="279"/>
      <c r="R59" s="244"/>
      <c r="S59" s="244"/>
      <c r="T59" s="244"/>
      <c r="U59" s="244"/>
    </row>
    <row r="60" spans="2:21">
      <c r="B60" s="145" t="str">
        <f t="shared" si="0"/>
        <v/>
      </c>
      <c r="C60" s="496">
        <f>IF(D11="","-",+C59+1)</f>
        <v>2057</v>
      </c>
      <c r="D60" s="509">
        <f>IF(F59+SUM(E$17:E59)=D$10,F59,D$10-SUM(E$17:E59))</f>
        <v>0</v>
      </c>
      <c r="E60" s="510">
        <f t="shared" si="13"/>
        <v>0</v>
      </c>
      <c r="F60" s="511">
        <f t="shared" si="14"/>
        <v>0</v>
      </c>
      <c r="G60" s="512">
        <f t="shared" si="15"/>
        <v>0</v>
      </c>
      <c r="H60" s="478">
        <f t="shared" si="16"/>
        <v>0</v>
      </c>
      <c r="I60" s="501">
        <f t="shared" si="6"/>
        <v>0</v>
      </c>
      <c r="J60" s="501"/>
      <c r="K60" s="513"/>
      <c r="L60" s="505">
        <f t="shared" si="17"/>
        <v>0</v>
      </c>
      <c r="M60" s="513"/>
      <c r="N60" s="505">
        <f t="shared" si="4"/>
        <v>0</v>
      </c>
      <c r="O60" s="505">
        <f t="shared" si="5"/>
        <v>0</v>
      </c>
      <c r="P60" s="279"/>
      <c r="R60" s="244"/>
      <c r="S60" s="244"/>
      <c r="T60" s="244"/>
      <c r="U60" s="244"/>
    </row>
    <row r="61" spans="2:21">
      <c r="B61" s="145" t="str">
        <f t="shared" si="0"/>
        <v/>
      </c>
      <c r="C61" s="496">
        <f>IF(D11="","-",+C60+1)</f>
        <v>2058</v>
      </c>
      <c r="D61" s="509">
        <f>IF(F60+SUM(E$17:E60)=D$10,F60,D$10-SUM(E$17:E60))</f>
        <v>0</v>
      </c>
      <c r="E61" s="510">
        <f t="shared" si="13"/>
        <v>0</v>
      </c>
      <c r="F61" s="511">
        <f t="shared" si="14"/>
        <v>0</v>
      </c>
      <c r="G61" s="512">
        <f t="shared" si="15"/>
        <v>0</v>
      </c>
      <c r="H61" s="478">
        <f t="shared" si="16"/>
        <v>0</v>
      </c>
      <c r="I61" s="501">
        <f t="shared" si="6"/>
        <v>0</v>
      </c>
      <c r="J61" s="501"/>
      <c r="K61" s="513"/>
      <c r="L61" s="505">
        <f t="shared" si="17"/>
        <v>0</v>
      </c>
      <c r="M61" s="513"/>
      <c r="N61" s="505">
        <f t="shared" si="4"/>
        <v>0</v>
      </c>
      <c r="O61" s="505">
        <f t="shared" si="5"/>
        <v>0</v>
      </c>
      <c r="P61" s="279"/>
      <c r="R61" s="244"/>
      <c r="S61" s="244"/>
      <c r="T61" s="244"/>
      <c r="U61" s="244"/>
    </row>
    <row r="62" spans="2:21">
      <c r="B62" s="145" t="str">
        <f t="shared" si="0"/>
        <v/>
      </c>
      <c r="C62" s="496">
        <f>IF(D11="","-",+C61+1)</f>
        <v>2059</v>
      </c>
      <c r="D62" s="509">
        <f>IF(F61+SUM(E$17:E61)=D$10,F61,D$10-SUM(E$17:E61))</f>
        <v>0</v>
      </c>
      <c r="E62" s="510">
        <f t="shared" si="13"/>
        <v>0</v>
      </c>
      <c r="F62" s="511">
        <f t="shared" si="14"/>
        <v>0</v>
      </c>
      <c r="G62" s="512">
        <f t="shared" si="15"/>
        <v>0</v>
      </c>
      <c r="H62" s="478">
        <f t="shared" si="16"/>
        <v>0</v>
      </c>
      <c r="I62" s="501">
        <f t="shared" si="6"/>
        <v>0</v>
      </c>
      <c r="J62" s="501"/>
      <c r="K62" s="513"/>
      <c r="L62" s="505">
        <f t="shared" si="17"/>
        <v>0</v>
      </c>
      <c r="M62" s="513"/>
      <c r="N62" s="505">
        <f t="shared" si="4"/>
        <v>0</v>
      </c>
      <c r="O62" s="505">
        <f t="shared" si="5"/>
        <v>0</v>
      </c>
      <c r="P62" s="279"/>
      <c r="R62" s="244"/>
      <c r="S62" s="244"/>
      <c r="T62" s="244"/>
      <c r="U62" s="244"/>
    </row>
    <row r="63" spans="2:21">
      <c r="B63" s="145" t="str">
        <f t="shared" si="0"/>
        <v/>
      </c>
      <c r="C63" s="496">
        <f>IF(D11="","-",+C62+1)</f>
        <v>2060</v>
      </c>
      <c r="D63" s="509">
        <f>IF(F62+SUM(E$17:E62)=D$10,F62,D$10-SUM(E$17:E62))</f>
        <v>0</v>
      </c>
      <c r="E63" s="510">
        <f t="shared" si="13"/>
        <v>0</v>
      </c>
      <c r="F63" s="511">
        <f t="shared" si="14"/>
        <v>0</v>
      </c>
      <c r="G63" s="512">
        <f t="shared" si="15"/>
        <v>0</v>
      </c>
      <c r="H63" s="478">
        <f t="shared" si="16"/>
        <v>0</v>
      </c>
      <c r="I63" s="501">
        <f t="shared" si="6"/>
        <v>0</v>
      </c>
      <c r="J63" s="501"/>
      <c r="K63" s="513"/>
      <c r="L63" s="505">
        <f t="shared" si="17"/>
        <v>0</v>
      </c>
      <c r="M63" s="513"/>
      <c r="N63" s="505">
        <f t="shared" si="4"/>
        <v>0</v>
      </c>
      <c r="O63" s="505">
        <f t="shared" si="5"/>
        <v>0</v>
      </c>
      <c r="P63" s="279"/>
      <c r="R63" s="244"/>
      <c r="S63" s="244"/>
      <c r="T63" s="244"/>
      <c r="U63" s="244"/>
    </row>
    <row r="64" spans="2:21">
      <c r="B64" s="145" t="str">
        <f t="shared" si="0"/>
        <v/>
      </c>
      <c r="C64" s="496">
        <f>IF(D11="","-",+C63+1)</f>
        <v>2061</v>
      </c>
      <c r="D64" s="509">
        <f>IF(F63+SUM(E$17:E63)=D$10,F63,D$10-SUM(E$17:E63))</f>
        <v>0</v>
      </c>
      <c r="E64" s="510">
        <f t="shared" si="13"/>
        <v>0</v>
      </c>
      <c r="F64" s="511">
        <f t="shared" si="14"/>
        <v>0</v>
      </c>
      <c r="G64" s="512">
        <f t="shared" si="15"/>
        <v>0</v>
      </c>
      <c r="H64" s="478">
        <f t="shared" si="16"/>
        <v>0</v>
      </c>
      <c r="I64" s="501">
        <f t="shared" si="6"/>
        <v>0</v>
      </c>
      <c r="J64" s="501"/>
      <c r="K64" s="513"/>
      <c r="L64" s="505">
        <f t="shared" si="17"/>
        <v>0</v>
      </c>
      <c r="M64" s="513"/>
      <c r="N64" s="505">
        <f t="shared" si="4"/>
        <v>0</v>
      </c>
      <c r="O64" s="505">
        <f t="shared" si="5"/>
        <v>0</v>
      </c>
      <c r="P64" s="279"/>
      <c r="R64" s="244"/>
      <c r="S64" s="244"/>
      <c r="T64" s="244"/>
      <c r="U64" s="244"/>
    </row>
    <row r="65" spans="2:21">
      <c r="B65" s="145" t="str">
        <f t="shared" si="0"/>
        <v/>
      </c>
      <c r="C65" s="496">
        <f>IF(D11="","-",+C64+1)</f>
        <v>2062</v>
      </c>
      <c r="D65" s="509">
        <f>IF(F64+SUM(E$17:E64)=D$10,F64,D$10-SUM(E$17:E64))</f>
        <v>0</v>
      </c>
      <c r="E65" s="510">
        <f t="shared" si="13"/>
        <v>0</v>
      </c>
      <c r="F65" s="511">
        <f t="shared" si="14"/>
        <v>0</v>
      </c>
      <c r="G65" s="512">
        <f t="shared" si="15"/>
        <v>0</v>
      </c>
      <c r="H65" s="478">
        <f t="shared" si="16"/>
        <v>0</v>
      </c>
      <c r="I65" s="501">
        <f t="shared" si="6"/>
        <v>0</v>
      </c>
      <c r="J65" s="501"/>
      <c r="K65" s="513"/>
      <c r="L65" s="505">
        <f t="shared" si="17"/>
        <v>0</v>
      </c>
      <c r="M65" s="513"/>
      <c r="N65" s="505">
        <f t="shared" si="4"/>
        <v>0</v>
      </c>
      <c r="O65" s="505">
        <f t="shared" si="5"/>
        <v>0</v>
      </c>
      <c r="P65" s="279"/>
      <c r="R65" s="244"/>
      <c r="S65" s="244"/>
      <c r="T65" s="244"/>
      <c r="U65" s="244"/>
    </row>
    <row r="66" spans="2:21">
      <c r="B66" s="145" t="str">
        <f t="shared" si="0"/>
        <v/>
      </c>
      <c r="C66" s="496">
        <f>IF(D11="","-",+C65+1)</f>
        <v>2063</v>
      </c>
      <c r="D66" s="509">
        <f>IF(F65+SUM(E$17:E65)=D$10,F65,D$10-SUM(E$17:E65))</f>
        <v>0</v>
      </c>
      <c r="E66" s="510">
        <f t="shared" si="13"/>
        <v>0</v>
      </c>
      <c r="F66" s="511">
        <f t="shared" si="14"/>
        <v>0</v>
      </c>
      <c r="G66" s="512">
        <f t="shared" si="15"/>
        <v>0</v>
      </c>
      <c r="H66" s="478">
        <f t="shared" si="16"/>
        <v>0</v>
      </c>
      <c r="I66" s="501">
        <f t="shared" si="6"/>
        <v>0</v>
      </c>
      <c r="J66" s="501"/>
      <c r="K66" s="513"/>
      <c r="L66" s="505">
        <f t="shared" si="17"/>
        <v>0</v>
      </c>
      <c r="M66" s="513"/>
      <c r="N66" s="505">
        <f t="shared" si="4"/>
        <v>0</v>
      </c>
      <c r="O66" s="505">
        <f t="shared" si="5"/>
        <v>0</v>
      </c>
      <c r="P66" s="279"/>
      <c r="R66" s="244"/>
      <c r="S66" s="244"/>
      <c r="T66" s="244"/>
      <c r="U66" s="244"/>
    </row>
    <row r="67" spans="2:21">
      <c r="B67" s="145" t="str">
        <f t="shared" si="0"/>
        <v/>
      </c>
      <c r="C67" s="496">
        <f>IF(D11="","-",+C66+1)</f>
        <v>2064</v>
      </c>
      <c r="D67" s="509">
        <f>IF(F66+SUM(E$17:E66)=D$10,F66,D$10-SUM(E$17:E66))</f>
        <v>0</v>
      </c>
      <c r="E67" s="510">
        <f t="shared" si="13"/>
        <v>0</v>
      </c>
      <c r="F67" s="511">
        <f t="shared" si="14"/>
        <v>0</v>
      </c>
      <c r="G67" s="512">
        <f t="shared" si="15"/>
        <v>0</v>
      </c>
      <c r="H67" s="478">
        <f t="shared" si="16"/>
        <v>0</v>
      </c>
      <c r="I67" s="501">
        <f t="shared" si="6"/>
        <v>0</v>
      </c>
      <c r="J67" s="501"/>
      <c r="K67" s="513"/>
      <c r="L67" s="505">
        <f t="shared" si="17"/>
        <v>0</v>
      </c>
      <c r="M67" s="513"/>
      <c r="N67" s="505">
        <f t="shared" si="4"/>
        <v>0</v>
      </c>
      <c r="O67" s="505">
        <f t="shared" si="5"/>
        <v>0</v>
      </c>
      <c r="P67" s="279"/>
      <c r="R67" s="244"/>
      <c r="S67" s="244"/>
      <c r="T67" s="244"/>
      <c r="U67" s="244"/>
    </row>
    <row r="68" spans="2:21">
      <c r="B68" s="145" t="str">
        <f t="shared" si="0"/>
        <v/>
      </c>
      <c r="C68" s="496">
        <f>IF(D11="","-",+C67+1)</f>
        <v>2065</v>
      </c>
      <c r="D68" s="509">
        <f>IF(F67+SUM(E$17:E67)=D$10,F67,D$10-SUM(E$17:E67))</f>
        <v>0</v>
      </c>
      <c r="E68" s="510">
        <f t="shared" si="13"/>
        <v>0</v>
      </c>
      <c r="F68" s="511">
        <f t="shared" si="14"/>
        <v>0</v>
      </c>
      <c r="G68" s="512">
        <f t="shared" si="15"/>
        <v>0</v>
      </c>
      <c r="H68" s="478">
        <f t="shared" si="16"/>
        <v>0</v>
      </c>
      <c r="I68" s="501">
        <f t="shared" si="6"/>
        <v>0</v>
      </c>
      <c r="J68" s="501"/>
      <c r="K68" s="513"/>
      <c r="L68" s="505">
        <f t="shared" si="17"/>
        <v>0</v>
      </c>
      <c r="M68" s="513"/>
      <c r="N68" s="505">
        <f t="shared" si="4"/>
        <v>0</v>
      </c>
      <c r="O68" s="505">
        <f t="shared" si="5"/>
        <v>0</v>
      </c>
      <c r="P68" s="279"/>
      <c r="R68" s="244"/>
      <c r="S68" s="244"/>
      <c r="T68" s="244"/>
      <c r="U68" s="244"/>
    </row>
    <row r="69" spans="2:21">
      <c r="B69" s="145" t="str">
        <f t="shared" si="0"/>
        <v/>
      </c>
      <c r="C69" s="496">
        <f>IF(D11="","-",+C68+1)</f>
        <v>2066</v>
      </c>
      <c r="D69" s="509">
        <f>IF(F68+SUM(E$17:E68)=D$10,F68,D$10-SUM(E$17:E68))</f>
        <v>0</v>
      </c>
      <c r="E69" s="510">
        <f t="shared" si="13"/>
        <v>0</v>
      </c>
      <c r="F69" s="511">
        <f t="shared" si="14"/>
        <v>0</v>
      </c>
      <c r="G69" s="512">
        <f t="shared" si="15"/>
        <v>0</v>
      </c>
      <c r="H69" s="478">
        <f t="shared" si="16"/>
        <v>0</v>
      </c>
      <c r="I69" s="501">
        <f t="shared" si="6"/>
        <v>0</v>
      </c>
      <c r="J69" s="501"/>
      <c r="K69" s="513"/>
      <c r="L69" s="505">
        <f t="shared" si="17"/>
        <v>0</v>
      </c>
      <c r="M69" s="513"/>
      <c r="N69" s="505">
        <f t="shared" si="4"/>
        <v>0</v>
      </c>
      <c r="O69" s="505">
        <f t="shared" si="5"/>
        <v>0</v>
      </c>
      <c r="P69" s="279"/>
      <c r="R69" s="244"/>
      <c r="S69" s="244"/>
      <c r="T69" s="244"/>
      <c r="U69" s="244"/>
    </row>
    <row r="70" spans="2:21">
      <c r="B70" s="145" t="str">
        <f t="shared" si="0"/>
        <v/>
      </c>
      <c r="C70" s="496">
        <f>IF(D11="","-",+C69+1)</f>
        <v>2067</v>
      </c>
      <c r="D70" s="509">
        <f>IF(F69+SUM(E$17:E69)=D$10,F69,D$10-SUM(E$17:E69))</f>
        <v>0</v>
      </c>
      <c r="E70" s="510">
        <f t="shared" si="13"/>
        <v>0</v>
      </c>
      <c r="F70" s="511">
        <f t="shared" si="14"/>
        <v>0</v>
      </c>
      <c r="G70" s="512">
        <f t="shared" si="15"/>
        <v>0</v>
      </c>
      <c r="H70" s="478">
        <f t="shared" si="16"/>
        <v>0</v>
      </c>
      <c r="I70" s="501">
        <f t="shared" si="6"/>
        <v>0</v>
      </c>
      <c r="J70" s="501"/>
      <c r="K70" s="513"/>
      <c r="L70" s="505">
        <f t="shared" si="17"/>
        <v>0</v>
      </c>
      <c r="M70" s="513"/>
      <c r="N70" s="505">
        <f t="shared" si="4"/>
        <v>0</v>
      </c>
      <c r="O70" s="505">
        <f t="shared" si="5"/>
        <v>0</v>
      </c>
      <c r="P70" s="279"/>
      <c r="R70" s="244"/>
      <c r="S70" s="244"/>
      <c r="T70" s="244"/>
      <c r="U70" s="244"/>
    </row>
    <row r="71" spans="2:21">
      <c r="B71" s="145" t="str">
        <f t="shared" si="0"/>
        <v/>
      </c>
      <c r="C71" s="496">
        <f>IF(D11="","-",+C70+1)</f>
        <v>2068</v>
      </c>
      <c r="D71" s="509">
        <f>IF(F70+SUM(E$17:E70)=D$10,F70,D$10-SUM(E$17:E70))</f>
        <v>0</v>
      </c>
      <c r="E71" s="510">
        <f t="shared" si="13"/>
        <v>0</v>
      </c>
      <c r="F71" s="511">
        <f t="shared" si="14"/>
        <v>0</v>
      </c>
      <c r="G71" s="512">
        <f t="shared" si="15"/>
        <v>0</v>
      </c>
      <c r="H71" s="478">
        <f t="shared" si="16"/>
        <v>0</v>
      </c>
      <c r="I71" s="501">
        <f t="shared" si="6"/>
        <v>0</v>
      </c>
      <c r="J71" s="501"/>
      <c r="K71" s="513"/>
      <c r="L71" s="505">
        <f t="shared" si="17"/>
        <v>0</v>
      </c>
      <c r="M71" s="513"/>
      <c r="N71" s="505">
        <f t="shared" si="4"/>
        <v>0</v>
      </c>
      <c r="O71" s="505">
        <f t="shared" si="5"/>
        <v>0</v>
      </c>
      <c r="P71" s="279"/>
      <c r="R71" s="244"/>
      <c r="S71" s="244"/>
      <c r="T71" s="244"/>
      <c r="U71" s="244"/>
    </row>
    <row r="72" spans="2:21">
      <c r="B72" s="145" t="str">
        <f t="shared" si="0"/>
        <v/>
      </c>
      <c r="C72" s="496">
        <f>IF(D11="","-",+C71+1)</f>
        <v>2069</v>
      </c>
      <c r="D72" s="509">
        <f>IF(F71+SUM(E$17:E71)=D$10,F71,D$10-SUM(E$17:E71))</f>
        <v>0</v>
      </c>
      <c r="E72" s="510">
        <f t="shared" si="13"/>
        <v>0</v>
      </c>
      <c r="F72" s="511">
        <f t="shared" si="14"/>
        <v>0</v>
      </c>
      <c r="G72" s="512">
        <f t="shared" si="15"/>
        <v>0</v>
      </c>
      <c r="H72" s="478">
        <f t="shared" si="16"/>
        <v>0</v>
      </c>
      <c r="I72" s="501">
        <f t="shared" si="6"/>
        <v>0</v>
      </c>
      <c r="J72" s="501"/>
      <c r="K72" s="513"/>
      <c r="L72" s="505">
        <f t="shared" si="17"/>
        <v>0</v>
      </c>
      <c r="M72" s="513"/>
      <c r="N72" s="505">
        <f t="shared" si="4"/>
        <v>0</v>
      </c>
      <c r="O72" s="505">
        <f t="shared" si="5"/>
        <v>0</v>
      </c>
      <c r="P72" s="279"/>
      <c r="R72" s="244"/>
      <c r="S72" s="244"/>
      <c r="T72" s="244"/>
      <c r="U72" s="244"/>
    </row>
    <row r="73" spans="2:21" ht="13.5" thickBot="1">
      <c r="B73" s="145" t="str">
        <f t="shared" si="0"/>
        <v/>
      </c>
      <c r="C73" s="525">
        <f>IF(D11="","-",+C72+1)</f>
        <v>2070</v>
      </c>
      <c r="D73" s="526">
        <f>IF(F72+SUM(E$17:E72)=D$10,F72,D$10-SUM(E$17:E72))</f>
        <v>0</v>
      </c>
      <c r="E73" s="527">
        <f t="shared" si="13"/>
        <v>0</v>
      </c>
      <c r="F73" s="528">
        <f t="shared" si="14"/>
        <v>0</v>
      </c>
      <c r="G73" s="528">
        <f t="shared" si="15"/>
        <v>0</v>
      </c>
      <c r="H73" s="528">
        <f t="shared" si="16"/>
        <v>0</v>
      </c>
      <c r="I73" s="530">
        <f t="shared" si="6"/>
        <v>0</v>
      </c>
      <c r="J73" s="501"/>
      <c r="K73" s="531"/>
      <c r="L73" s="532">
        <f t="shared" si="17"/>
        <v>0</v>
      </c>
      <c r="M73" s="531"/>
      <c r="N73" s="532">
        <f t="shared" si="4"/>
        <v>0</v>
      </c>
      <c r="O73" s="532">
        <f t="shared" si="5"/>
        <v>0</v>
      </c>
      <c r="P73" s="279"/>
      <c r="R73" s="244"/>
      <c r="S73" s="244"/>
      <c r="T73" s="244"/>
      <c r="U73" s="244"/>
    </row>
    <row r="74" spans="2:21">
      <c r="C74" s="350" t="s">
        <v>75</v>
      </c>
      <c r="D74" s="295"/>
      <c r="E74" s="295">
        <f>SUM(E17:E73)</f>
        <v>13254470.189999996</v>
      </c>
      <c r="F74" s="295"/>
      <c r="G74" s="295">
        <f>SUM(G17:G73)</f>
        <v>39441469.167751074</v>
      </c>
      <c r="H74" s="295">
        <f>SUM(H17:H73)</f>
        <v>39441469.167751074</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12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1602683.1037737736</v>
      </c>
      <c r="N88" s="545">
        <f>IF(J93&lt;D11,0,VLOOKUP(J93,C17:O73,11))</f>
        <v>1602683.1037737736</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1813462.5604316716</v>
      </c>
      <c r="N89" s="549">
        <f>IF(J93&lt;D11,0,VLOOKUP(J93,C100:P155,7))</f>
        <v>1813462.5604316716</v>
      </c>
      <c r="O89" s="550">
        <f>+N89-M89</f>
        <v>0</v>
      </c>
      <c r="P89" s="244"/>
      <c r="Q89" s="244"/>
      <c r="R89" s="244"/>
      <c r="S89" s="244"/>
      <c r="T89" s="244"/>
      <c r="U89" s="244"/>
    </row>
    <row r="90" spans="1:21" ht="13.5" thickBot="1">
      <c r="C90" s="455" t="s">
        <v>82</v>
      </c>
      <c r="D90" s="551" t="str">
        <f>+D7</f>
        <v>Darlington-Red Rock 138 kV line</v>
      </c>
      <c r="E90" s="244"/>
      <c r="F90" s="244"/>
      <c r="G90" s="244"/>
      <c r="H90" s="244"/>
      <c r="I90" s="326"/>
      <c r="J90" s="326"/>
      <c r="K90" s="552"/>
      <c r="L90" s="553" t="s">
        <v>135</v>
      </c>
      <c r="M90" s="554">
        <f>+M89-M88</f>
        <v>210779.45665789791</v>
      </c>
      <c r="N90" s="554">
        <f>+N89-N88</f>
        <v>210779.45665789791</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TP2012112</v>
      </c>
      <c r="E92" s="559"/>
      <c r="F92" s="559"/>
      <c r="G92" s="559"/>
      <c r="H92" s="559"/>
      <c r="I92" s="559"/>
      <c r="J92" s="559"/>
      <c r="K92" s="561"/>
      <c r="P92" s="469"/>
      <c r="Q92" s="244"/>
      <c r="R92" s="244"/>
      <c r="S92" s="244"/>
      <c r="T92" s="244"/>
      <c r="U92" s="244"/>
    </row>
    <row r="93" spans="1:21">
      <c r="C93" s="473" t="s">
        <v>49</v>
      </c>
      <c r="D93" s="623">
        <v>13254470</v>
      </c>
      <c r="E93" s="249" t="s">
        <v>84</v>
      </c>
      <c r="H93" s="409"/>
      <c r="I93" s="409"/>
      <c r="J93" s="472">
        <f>+'OKT.WS.G.BPU.ATRR.True-up'!M16</f>
        <v>2021</v>
      </c>
      <c r="K93" s="468"/>
      <c r="L93" s="295" t="s">
        <v>85</v>
      </c>
      <c r="P93" s="279"/>
      <c r="Q93" s="244"/>
      <c r="R93" s="244"/>
      <c r="S93" s="244"/>
      <c r="T93" s="244"/>
      <c r="U93" s="244"/>
    </row>
    <row r="94" spans="1:21">
      <c r="C94" s="473" t="s">
        <v>52</v>
      </c>
      <c r="D94" s="562">
        <f>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4</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530178.80000000005</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2014</v>
      </c>
      <c r="D100" s="350"/>
      <c r="E100" s="512"/>
      <c r="F100" s="511"/>
      <c r="G100" s="606"/>
      <c r="H100" s="606"/>
      <c r="I100" s="606"/>
      <c r="J100" s="505"/>
      <c r="K100" s="505"/>
      <c r="L100" s="502"/>
      <c r="M100" s="503">
        <f t="shared" ref="M100:M131" si="18">IF(L100&lt;&gt;0,+H100-L100,0)</f>
        <v>0</v>
      </c>
      <c r="N100" s="502"/>
      <c r="O100" s="504">
        <f t="shared" ref="O100:O131" si="19">IF(N100&lt;&gt;0,+I100-N100,0)</f>
        <v>0</v>
      </c>
      <c r="P100" s="504">
        <f t="shared" ref="P100:P131" si="20">+O100-M100</f>
        <v>0</v>
      </c>
      <c r="Q100" s="244"/>
      <c r="R100" s="244"/>
      <c r="S100" s="244"/>
      <c r="T100" s="244"/>
      <c r="U100" s="244"/>
    </row>
    <row r="101" spans="1:21">
      <c r="C101" s="496">
        <f>IF(D94="","-",+C100+1)</f>
        <v>2015</v>
      </c>
      <c r="D101" s="497">
        <v>12986963.014521964</v>
      </c>
      <c r="E101" s="499">
        <v>276134.79166666669</v>
      </c>
      <c r="F101" s="506">
        <v>12710828.222855298</v>
      </c>
      <c r="G101" s="506">
        <v>12848895.618688632</v>
      </c>
      <c r="H101" s="499">
        <v>1706594.9989443137</v>
      </c>
      <c r="I101" s="500">
        <v>1706594.9989443137</v>
      </c>
      <c r="J101" s="505"/>
      <c r="K101" s="505"/>
      <c r="L101" s="507">
        <f t="shared" ref="L101:L106" si="21">H101</f>
        <v>1706594.9989443137</v>
      </c>
      <c r="M101" s="505">
        <f t="shared" ref="M101:M106" si="22">IF(L101&lt;&gt;0,+H101-L101,0)</f>
        <v>0</v>
      </c>
      <c r="N101" s="507">
        <f t="shared" ref="N101:N106" si="23">I101</f>
        <v>1706594.9989443137</v>
      </c>
      <c r="O101" s="505">
        <f t="shared" si="19"/>
        <v>0</v>
      </c>
      <c r="P101" s="505">
        <f t="shared" si="20"/>
        <v>0</v>
      </c>
      <c r="Q101" s="244"/>
      <c r="R101" s="244"/>
      <c r="S101" s="244"/>
      <c r="T101" s="244"/>
      <c r="U101" s="244"/>
    </row>
    <row r="102" spans="1:21">
      <c r="B102" s="145" t="str">
        <f t="shared" ref="B102:B155" si="24">IF(D102=F101,"","IU")</f>
        <v>IU</v>
      </c>
      <c r="C102" s="496">
        <f>IF(D94="","-",+C101+1)</f>
        <v>2016</v>
      </c>
      <c r="D102" s="497">
        <v>12978335.208333334</v>
      </c>
      <c r="E102" s="499">
        <v>259891.56862745099</v>
      </c>
      <c r="F102" s="506">
        <v>12718443.639705883</v>
      </c>
      <c r="G102" s="506">
        <v>12848389.424019609</v>
      </c>
      <c r="H102" s="499">
        <v>1652264.5848598198</v>
      </c>
      <c r="I102" s="500">
        <v>1652264.5848598198</v>
      </c>
      <c r="J102" s="505">
        <v>0</v>
      </c>
      <c r="K102" s="505"/>
      <c r="L102" s="507">
        <f t="shared" si="21"/>
        <v>1652264.5848598198</v>
      </c>
      <c r="M102" s="505">
        <f t="shared" si="22"/>
        <v>0</v>
      </c>
      <c r="N102" s="507">
        <f t="shared" si="23"/>
        <v>1652264.5848598198</v>
      </c>
      <c r="O102" s="505">
        <f t="shared" si="19"/>
        <v>0</v>
      </c>
      <c r="P102" s="505">
        <f t="shared" si="20"/>
        <v>0</v>
      </c>
      <c r="Q102" s="244"/>
      <c r="R102" s="244"/>
      <c r="S102" s="244"/>
      <c r="T102" s="244"/>
      <c r="U102" s="244"/>
    </row>
    <row r="103" spans="1:21">
      <c r="B103" s="145" t="str">
        <f t="shared" si="24"/>
        <v/>
      </c>
      <c r="C103" s="496">
        <f>IF(D94="","-",+C102+1)</f>
        <v>2017</v>
      </c>
      <c r="D103" s="497">
        <v>12718443.639705883</v>
      </c>
      <c r="E103" s="499">
        <v>331361.75</v>
      </c>
      <c r="F103" s="506">
        <v>12387081.889705883</v>
      </c>
      <c r="G103" s="506">
        <v>12552762.764705883</v>
      </c>
      <c r="H103" s="499">
        <v>1804251.0172391555</v>
      </c>
      <c r="I103" s="500">
        <v>1804251.0172391555</v>
      </c>
      <c r="J103" s="505">
        <f>+I103-H103</f>
        <v>0</v>
      </c>
      <c r="K103" s="505"/>
      <c r="L103" s="507">
        <f t="shared" si="21"/>
        <v>1804251.0172391555</v>
      </c>
      <c r="M103" s="505">
        <f t="shared" si="22"/>
        <v>0</v>
      </c>
      <c r="N103" s="507">
        <f t="shared" si="23"/>
        <v>1804251.0172391555</v>
      </c>
      <c r="O103" s="505">
        <f>IF(N103&lt;&gt;0,+I103-N103,0)</f>
        <v>0</v>
      </c>
      <c r="P103" s="505">
        <f>+O103-M103</f>
        <v>0</v>
      </c>
      <c r="Q103" s="244"/>
      <c r="R103" s="244"/>
      <c r="S103" s="244"/>
      <c r="T103" s="244"/>
      <c r="U103" s="244"/>
    </row>
    <row r="104" spans="1:21">
      <c r="B104" s="145" t="str">
        <f t="shared" si="24"/>
        <v/>
      </c>
      <c r="C104" s="496">
        <f>IF(D94="","-",+C103+1)</f>
        <v>2018</v>
      </c>
      <c r="D104" s="497">
        <v>12387081.889705883</v>
      </c>
      <c r="E104" s="499">
        <v>368179.72222222225</v>
      </c>
      <c r="F104" s="506">
        <v>12018902.167483661</v>
      </c>
      <c r="G104" s="506">
        <v>12202992.028594773</v>
      </c>
      <c r="H104" s="499">
        <v>1656357.447097271</v>
      </c>
      <c r="I104" s="500">
        <v>1656357.447097271</v>
      </c>
      <c r="J104" s="505">
        <v>0</v>
      </c>
      <c r="K104" s="505"/>
      <c r="L104" s="507">
        <f t="shared" si="21"/>
        <v>1656357.447097271</v>
      </c>
      <c r="M104" s="505">
        <f t="shared" si="22"/>
        <v>0</v>
      </c>
      <c r="N104" s="507">
        <f t="shared" si="23"/>
        <v>1656357.447097271</v>
      </c>
      <c r="O104" s="505">
        <f>IF(N104&lt;&gt;0,+I104-N104,0)</f>
        <v>0</v>
      </c>
      <c r="P104" s="505">
        <f>+O104-M104</f>
        <v>0</v>
      </c>
      <c r="Q104" s="244"/>
      <c r="R104" s="244"/>
      <c r="S104" s="244"/>
      <c r="T104" s="244"/>
      <c r="U104" s="244"/>
    </row>
    <row r="105" spans="1:21">
      <c r="B105" s="145" t="str">
        <f t="shared" si="24"/>
        <v/>
      </c>
      <c r="C105" s="496">
        <f>IF(D94="","-",+C104+1)</f>
        <v>2019</v>
      </c>
      <c r="D105" s="497">
        <v>12018902.167483661</v>
      </c>
      <c r="E105" s="499">
        <v>401650.60606060608</v>
      </c>
      <c r="F105" s="506">
        <v>11617251.561423056</v>
      </c>
      <c r="G105" s="506">
        <v>11818076.864453359</v>
      </c>
      <c r="H105" s="499">
        <v>1678111.9401217271</v>
      </c>
      <c r="I105" s="500">
        <v>1678111.9401217271</v>
      </c>
      <c r="J105" s="505">
        <f t="shared" ref="J105:J155" si="25">+I105-H105</f>
        <v>0</v>
      </c>
      <c r="K105" s="505"/>
      <c r="L105" s="507">
        <f t="shared" si="21"/>
        <v>1678111.9401217271</v>
      </c>
      <c r="M105" s="505">
        <f t="shared" si="22"/>
        <v>0</v>
      </c>
      <c r="N105" s="507">
        <f t="shared" si="23"/>
        <v>1678111.9401217271</v>
      </c>
      <c r="O105" s="505">
        <f>IF(N105&lt;&gt;0,+I105-N105,0)</f>
        <v>0</v>
      </c>
      <c r="P105" s="505">
        <f>+O105-M105</f>
        <v>0</v>
      </c>
      <c r="Q105" s="244"/>
      <c r="R105" s="244"/>
      <c r="S105" s="244"/>
      <c r="T105" s="244"/>
      <c r="U105" s="244"/>
    </row>
    <row r="106" spans="1:21">
      <c r="B106" s="145" t="str">
        <f t="shared" si="24"/>
        <v>IU</v>
      </c>
      <c r="C106" s="496">
        <f>IF(D94="","-",+C105+1)</f>
        <v>2020</v>
      </c>
      <c r="D106" s="497">
        <v>12018902.167483661</v>
      </c>
      <c r="E106" s="499">
        <v>473373.92857142858</v>
      </c>
      <c r="F106" s="506">
        <v>11545528.238912232</v>
      </c>
      <c r="G106" s="506">
        <v>11782215.203197947</v>
      </c>
      <c r="H106" s="499">
        <v>1727160.6739647929</v>
      </c>
      <c r="I106" s="500">
        <v>1727160.6739647929</v>
      </c>
      <c r="J106" s="505">
        <f t="shared" si="25"/>
        <v>0</v>
      </c>
      <c r="K106" s="505"/>
      <c r="L106" s="507">
        <f t="shared" si="21"/>
        <v>1727160.6739647929</v>
      </c>
      <c r="M106" s="505">
        <f t="shared" si="22"/>
        <v>0</v>
      </c>
      <c r="N106" s="507">
        <f t="shared" si="23"/>
        <v>1727160.6739647929</v>
      </c>
      <c r="O106" s="505">
        <f t="shared" si="19"/>
        <v>0</v>
      </c>
      <c r="P106" s="505">
        <f t="shared" si="20"/>
        <v>0</v>
      </c>
      <c r="Q106" s="244"/>
      <c r="R106" s="244"/>
      <c r="S106" s="244"/>
      <c r="T106" s="244"/>
      <c r="U106" s="244"/>
    </row>
    <row r="107" spans="1:21">
      <c r="B107" s="145" t="str">
        <f t="shared" si="24"/>
        <v>IU</v>
      </c>
      <c r="C107" s="496">
        <f>IF(D94="","-",+C106+1)</f>
        <v>2021</v>
      </c>
      <c r="D107" s="350">
        <f>IF(F106+SUM(E$100:E106)=D$93,F106,D$93-SUM(E$100:E106))</f>
        <v>11143877.632851625</v>
      </c>
      <c r="E107" s="629">
        <f t="shared" ref="E107:E155" si="26">IF(+$J$97&lt;F106,$J$97,D107)</f>
        <v>530178.80000000005</v>
      </c>
      <c r="F107" s="511">
        <f t="shared" ref="F107:F155" si="27">+D107-E107</f>
        <v>10613698.832851624</v>
      </c>
      <c r="G107" s="511">
        <f t="shared" ref="G107:G155" si="28">+(F107+D107)/2</f>
        <v>10878788.232851624</v>
      </c>
      <c r="H107" s="646">
        <f>(D107+F107)/2*J$95+E107</f>
        <v>1813462.5604316716</v>
      </c>
      <c r="I107" s="630">
        <f t="shared" ref="I107:I155" si="29">+J$96*G107+E107</f>
        <v>1813462.5604316716</v>
      </c>
      <c r="J107" s="505">
        <f t="shared" si="25"/>
        <v>0</v>
      </c>
      <c r="K107" s="505"/>
      <c r="L107" s="513"/>
      <c r="M107" s="505">
        <f t="shared" si="18"/>
        <v>0</v>
      </c>
      <c r="N107" s="513"/>
      <c r="O107" s="505">
        <f t="shared" si="19"/>
        <v>0</v>
      </c>
      <c r="P107" s="505">
        <f t="shared" si="20"/>
        <v>0</v>
      </c>
      <c r="Q107" s="244"/>
      <c r="R107" s="244"/>
      <c r="S107" s="244"/>
      <c r="T107" s="244"/>
      <c r="U107" s="244"/>
    </row>
    <row r="108" spans="1:21">
      <c r="B108" s="145" t="str">
        <f t="shared" si="24"/>
        <v/>
      </c>
      <c r="C108" s="496">
        <f>IF(D94="","-",+C107+1)</f>
        <v>2022</v>
      </c>
      <c r="D108" s="350">
        <f>IF(F107+SUM(E$100:E107)=D$93,F107,D$93-SUM(E$100:E107))</f>
        <v>10613698.832851624</v>
      </c>
      <c r="E108" s="629">
        <f t="shared" si="26"/>
        <v>530178.80000000005</v>
      </c>
      <c r="F108" s="511">
        <f t="shared" si="27"/>
        <v>10083520.032851623</v>
      </c>
      <c r="G108" s="511">
        <f t="shared" si="28"/>
        <v>10348609.432851624</v>
      </c>
      <c r="H108" s="646">
        <f t="shared" ref="H108:H155" si="30">(D108+F108)/2*J$95+E108</f>
        <v>1750921.601861435</v>
      </c>
      <c r="I108" s="630">
        <f t="shared" si="29"/>
        <v>1750921.601861435</v>
      </c>
      <c r="J108" s="505">
        <f t="shared" si="25"/>
        <v>0</v>
      </c>
      <c r="K108" s="505"/>
      <c r="L108" s="513"/>
      <c r="M108" s="505">
        <f t="shared" si="18"/>
        <v>0</v>
      </c>
      <c r="N108" s="513"/>
      <c r="O108" s="505">
        <f t="shared" si="19"/>
        <v>0</v>
      </c>
      <c r="P108" s="505">
        <f t="shared" si="20"/>
        <v>0</v>
      </c>
      <c r="Q108" s="244"/>
      <c r="R108" s="244"/>
      <c r="S108" s="244"/>
      <c r="T108" s="244"/>
      <c r="U108" s="244"/>
    </row>
    <row r="109" spans="1:21">
      <c r="B109" s="145" t="str">
        <f t="shared" si="24"/>
        <v/>
      </c>
      <c r="C109" s="496">
        <f>IF(D94="","-",+C108+1)</f>
        <v>2023</v>
      </c>
      <c r="D109" s="350">
        <f>IF(F108+SUM(E$100:E108)=D$93,F108,D$93-SUM(E$100:E108))</f>
        <v>10083520.032851623</v>
      </c>
      <c r="E109" s="629">
        <f t="shared" si="26"/>
        <v>530178.80000000005</v>
      </c>
      <c r="F109" s="511">
        <f t="shared" si="27"/>
        <v>9553341.2328516226</v>
      </c>
      <c r="G109" s="511">
        <f t="shared" si="28"/>
        <v>9818430.632851623</v>
      </c>
      <c r="H109" s="646">
        <f t="shared" si="30"/>
        <v>1688380.6432911982</v>
      </c>
      <c r="I109" s="630">
        <f t="shared" si="29"/>
        <v>1688380.6432911982</v>
      </c>
      <c r="J109" s="505">
        <f t="shared" si="25"/>
        <v>0</v>
      </c>
      <c r="K109" s="505"/>
      <c r="L109" s="513"/>
      <c r="M109" s="505">
        <f t="shared" si="18"/>
        <v>0</v>
      </c>
      <c r="N109" s="513"/>
      <c r="O109" s="505">
        <f t="shared" si="19"/>
        <v>0</v>
      </c>
      <c r="P109" s="505">
        <f t="shared" si="20"/>
        <v>0</v>
      </c>
      <c r="Q109" s="244"/>
      <c r="R109" s="244"/>
      <c r="S109" s="244"/>
      <c r="T109" s="244"/>
      <c r="U109" s="244"/>
    </row>
    <row r="110" spans="1:21">
      <c r="B110" s="145" t="str">
        <f t="shared" si="24"/>
        <v/>
      </c>
      <c r="C110" s="496">
        <f>IF(D94="","-",+C109+1)</f>
        <v>2024</v>
      </c>
      <c r="D110" s="350">
        <f>IF(F109+SUM(E$100:E109)=D$93,F109,D$93-SUM(E$100:E109))</f>
        <v>9553341.2328516226</v>
      </c>
      <c r="E110" s="629">
        <f t="shared" si="26"/>
        <v>530178.80000000005</v>
      </c>
      <c r="F110" s="511">
        <f t="shared" si="27"/>
        <v>9023162.4328516219</v>
      </c>
      <c r="G110" s="511">
        <f t="shared" si="28"/>
        <v>9288251.8328516223</v>
      </c>
      <c r="H110" s="646">
        <f t="shared" si="30"/>
        <v>1625839.6847209614</v>
      </c>
      <c r="I110" s="630">
        <f t="shared" si="29"/>
        <v>1625839.6847209614</v>
      </c>
      <c r="J110" s="505">
        <f t="shared" si="25"/>
        <v>0</v>
      </c>
      <c r="K110" s="505"/>
      <c r="L110" s="513"/>
      <c r="M110" s="505">
        <f t="shared" si="18"/>
        <v>0</v>
      </c>
      <c r="N110" s="513"/>
      <c r="O110" s="505">
        <f t="shared" si="19"/>
        <v>0</v>
      </c>
      <c r="P110" s="505">
        <f t="shared" si="20"/>
        <v>0</v>
      </c>
      <c r="Q110" s="244"/>
      <c r="R110" s="244"/>
      <c r="S110" s="244"/>
      <c r="T110" s="244"/>
      <c r="U110" s="244"/>
    </row>
    <row r="111" spans="1:21">
      <c r="B111" s="145" t="str">
        <f t="shared" si="24"/>
        <v/>
      </c>
      <c r="C111" s="496">
        <f>IF(D94="","-",+C110+1)</f>
        <v>2025</v>
      </c>
      <c r="D111" s="350">
        <f>IF(F110+SUM(E$100:E110)=D$93,F110,D$93-SUM(E$100:E110))</f>
        <v>9023162.4328516219</v>
      </c>
      <c r="E111" s="629">
        <f t="shared" si="26"/>
        <v>530178.80000000005</v>
      </c>
      <c r="F111" s="511">
        <f t="shared" si="27"/>
        <v>8492983.6328516211</v>
      </c>
      <c r="G111" s="511">
        <f t="shared" si="28"/>
        <v>8758073.0328516215</v>
      </c>
      <c r="H111" s="646">
        <f t="shared" si="30"/>
        <v>1563298.7261507248</v>
      </c>
      <c r="I111" s="630">
        <f t="shared" si="29"/>
        <v>1563298.7261507248</v>
      </c>
      <c r="J111" s="505">
        <f t="shared" si="25"/>
        <v>0</v>
      </c>
      <c r="K111" s="505"/>
      <c r="L111" s="513"/>
      <c r="M111" s="505">
        <f t="shared" si="18"/>
        <v>0</v>
      </c>
      <c r="N111" s="513"/>
      <c r="O111" s="505">
        <f t="shared" si="19"/>
        <v>0</v>
      </c>
      <c r="P111" s="505">
        <f t="shared" si="20"/>
        <v>0</v>
      </c>
      <c r="Q111" s="244"/>
      <c r="R111" s="244"/>
      <c r="S111" s="244"/>
      <c r="T111" s="244"/>
      <c r="U111" s="244"/>
    </row>
    <row r="112" spans="1:21">
      <c r="B112" s="145" t="str">
        <f t="shared" si="24"/>
        <v/>
      </c>
      <c r="C112" s="496">
        <f>IF(D94="","-",+C111+1)</f>
        <v>2026</v>
      </c>
      <c r="D112" s="350">
        <f>IF(F111+SUM(E$100:E111)=D$93,F111,D$93-SUM(E$100:E111))</f>
        <v>8492983.6328516211</v>
      </c>
      <c r="E112" s="629">
        <f t="shared" si="26"/>
        <v>530178.80000000005</v>
      </c>
      <c r="F112" s="511">
        <f t="shared" si="27"/>
        <v>7962804.8328516213</v>
      </c>
      <c r="G112" s="511">
        <f t="shared" si="28"/>
        <v>8227894.2328516208</v>
      </c>
      <c r="H112" s="646">
        <f t="shared" si="30"/>
        <v>1500757.767580488</v>
      </c>
      <c r="I112" s="630">
        <f t="shared" si="29"/>
        <v>1500757.767580488</v>
      </c>
      <c r="J112" s="505">
        <f t="shared" si="25"/>
        <v>0</v>
      </c>
      <c r="K112" s="505"/>
      <c r="L112" s="513"/>
      <c r="M112" s="505">
        <f t="shared" si="18"/>
        <v>0</v>
      </c>
      <c r="N112" s="513"/>
      <c r="O112" s="505">
        <f t="shared" si="19"/>
        <v>0</v>
      </c>
      <c r="P112" s="505">
        <f t="shared" si="20"/>
        <v>0</v>
      </c>
      <c r="Q112" s="244"/>
      <c r="R112" s="244"/>
      <c r="S112" s="244"/>
      <c r="T112" s="244"/>
      <c r="U112" s="244"/>
    </row>
    <row r="113" spans="2:21">
      <c r="B113" s="145" t="str">
        <f t="shared" si="24"/>
        <v/>
      </c>
      <c r="C113" s="496">
        <f>IF(D94="","-",+C112+1)</f>
        <v>2027</v>
      </c>
      <c r="D113" s="350">
        <f>IF(F112+SUM(E$100:E112)=D$93,F112,D$93-SUM(E$100:E112))</f>
        <v>7962804.8328516213</v>
      </c>
      <c r="E113" s="629">
        <f t="shared" si="26"/>
        <v>530178.80000000005</v>
      </c>
      <c r="F113" s="511">
        <f t="shared" si="27"/>
        <v>7432626.0328516215</v>
      </c>
      <c r="G113" s="511">
        <f t="shared" si="28"/>
        <v>7697715.4328516219</v>
      </c>
      <c r="H113" s="646">
        <f t="shared" si="30"/>
        <v>1438216.8090102514</v>
      </c>
      <c r="I113" s="630">
        <f t="shared" si="29"/>
        <v>1438216.8090102514</v>
      </c>
      <c r="J113" s="505">
        <f t="shared" si="25"/>
        <v>0</v>
      </c>
      <c r="K113" s="505"/>
      <c r="L113" s="513"/>
      <c r="M113" s="505">
        <f t="shared" si="18"/>
        <v>0</v>
      </c>
      <c r="N113" s="513"/>
      <c r="O113" s="505">
        <f t="shared" si="19"/>
        <v>0</v>
      </c>
      <c r="P113" s="505">
        <f t="shared" si="20"/>
        <v>0</v>
      </c>
      <c r="Q113" s="244"/>
      <c r="R113" s="244"/>
      <c r="S113" s="244"/>
      <c r="T113" s="244"/>
      <c r="U113" s="244"/>
    </row>
    <row r="114" spans="2:21">
      <c r="B114" s="145" t="str">
        <f t="shared" si="24"/>
        <v/>
      </c>
      <c r="C114" s="496">
        <f>IF(D94="","-",+C113+1)</f>
        <v>2028</v>
      </c>
      <c r="D114" s="350">
        <f>IF(F113+SUM(E$100:E113)=D$93,F113,D$93-SUM(E$100:E113))</f>
        <v>7432626.0328516215</v>
      </c>
      <c r="E114" s="629">
        <f t="shared" si="26"/>
        <v>530178.80000000005</v>
      </c>
      <c r="F114" s="511">
        <f t="shared" si="27"/>
        <v>6902447.2328516217</v>
      </c>
      <c r="G114" s="511">
        <f t="shared" si="28"/>
        <v>7167536.6328516211</v>
      </c>
      <c r="H114" s="646">
        <f t="shared" si="30"/>
        <v>1375675.8504400149</v>
      </c>
      <c r="I114" s="630">
        <f t="shared" si="29"/>
        <v>1375675.8504400149</v>
      </c>
      <c r="J114" s="505">
        <f t="shared" si="25"/>
        <v>0</v>
      </c>
      <c r="K114" s="505"/>
      <c r="L114" s="513"/>
      <c r="M114" s="505">
        <f t="shared" si="18"/>
        <v>0</v>
      </c>
      <c r="N114" s="513"/>
      <c r="O114" s="505">
        <f t="shared" si="19"/>
        <v>0</v>
      </c>
      <c r="P114" s="505">
        <f t="shared" si="20"/>
        <v>0</v>
      </c>
      <c r="Q114" s="244"/>
      <c r="R114" s="244"/>
      <c r="S114" s="244"/>
      <c r="T114" s="244"/>
      <c r="U114" s="244"/>
    </row>
    <row r="115" spans="2:21">
      <c r="B115" s="145" t="str">
        <f t="shared" si="24"/>
        <v/>
      </c>
      <c r="C115" s="496">
        <f>IF(D94="","-",+C114+1)</f>
        <v>2029</v>
      </c>
      <c r="D115" s="350">
        <f>IF(F114+SUM(E$100:E114)=D$93,F114,D$93-SUM(E$100:E114))</f>
        <v>6902447.2328516217</v>
      </c>
      <c r="E115" s="629">
        <f t="shared" si="26"/>
        <v>530178.80000000005</v>
      </c>
      <c r="F115" s="511">
        <f t="shared" si="27"/>
        <v>6372268.4328516219</v>
      </c>
      <c r="G115" s="511">
        <f t="shared" si="28"/>
        <v>6637357.8328516223</v>
      </c>
      <c r="H115" s="646">
        <f t="shared" si="30"/>
        <v>1313134.8918697783</v>
      </c>
      <c r="I115" s="630">
        <f t="shared" si="29"/>
        <v>1313134.8918697783</v>
      </c>
      <c r="J115" s="505">
        <f t="shared" si="25"/>
        <v>0</v>
      </c>
      <c r="K115" s="505"/>
      <c r="L115" s="513"/>
      <c r="M115" s="505">
        <f t="shared" si="18"/>
        <v>0</v>
      </c>
      <c r="N115" s="513"/>
      <c r="O115" s="505">
        <f t="shared" si="19"/>
        <v>0</v>
      </c>
      <c r="P115" s="505">
        <f t="shared" si="20"/>
        <v>0</v>
      </c>
      <c r="Q115" s="244"/>
      <c r="R115" s="244"/>
      <c r="S115" s="244"/>
      <c r="T115" s="244"/>
      <c r="U115" s="244"/>
    </row>
    <row r="116" spans="2:21">
      <c r="B116" s="145" t="str">
        <f t="shared" si="24"/>
        <v/>
      </c>
      <c r="C116" s="496">
        <f>IF(D94="","-",+C115+1)</f>
        <v>2030</v>
      </c>
      <c r="D116" s="350">
        <f>IF(F115+SUM(E$100:E115)=D$93,F115,D$93-SUM(E$100:E115))</f>
        <v>6372268.4328516219</v>
      </c>
      <c r="E116" s="629">
        <f t="shared" si="26"/>
        <v>530178.80000000005</v>
      </c>
      <c r="F116" s="511">
        <f t="shared" si="27"/>
        <v>5842089.6328516221</v>
      </c>
      <c r="G116" s="511">
        <f t="shared" si="28"/>
        <v>6107179.0328516215</v>
      </c>
      <c r="H116" s="646">
        <f t="shared" si="30"/>
        <v>1250593.9332995417</v>
      </c>
      <c r="I116" s="630">
        <f t="shared" si="29"/>
        <v>1250593.9332995417</v>
      </c>
      <c r="J116" s="505">
        <f t="shared" si="25"/>
        <v>0</v>
      </c>
      <c r="K116" s="505"/>
      <c r="L116" s="513"/>
      <c r="M116" s="505">
        <f t="shared" si="18"/>
        <v>0</v>
      </c>
      <c r="N116" s="513"/>
      <c r="O116" s="505">
        <f t="shared" si="19"/>
        <v>0</v>
      </c>
      <c r="P116" s="505">
        <f t="shared" si="20"/>
        <v>0</v>
      </c>
      <c r="Q116" s="244"/>
      <c r="R116" s="244"/>
      <c r="S116" s="244"/>
      <c r="T116" s="244"/>
      <c r="U116" s="244"/>
    </row>
    <row r="117" spans="2:21">
      <c r="B117" s="145" t="str">
        <f t="shared" si="24"/>
        <v/>
      </c>
      <c r="C117" s="496">
        <f>IF(D94="","-",+C116+1)</f>
        <v>2031</v>
      </c>
      <c r="D117" s="350">
        <f>IF(F116+SUM(E$100:E116)=D$93,F116,D$93-SUM(E$100:E116))</f>
        <v>5842089.6328516221</v>
      </c>
      <c r="E117" s="629">
        <f t="shared" si="26"/>
        <v>530178.80000000005</v>
      </c>
      <c r="F117" s="511">
        <f t="shared" si="27"/>
        <v>5311910.8328516223</v>
      </c>
      <c r="G117" s="511">
        <f t="shared" si="28"/>
        <v>5577000.2328516226</v>
      </c>
      <c r="H117" s="646">
        <f t="shared" si="30"/>
        <v>1188052.9747293051</v>
      </c>
      <c r="I117" s="630">
        <f t="shared" si="29"/>
        <v>1188052.9747293051</v>
      </c>
      <c r="J117" s="505">
        <f t="shared" si="25"/>
        <v>0</v>
      </c>
      <c r="K117" s="505"/>
      <c r="L117" s="513"/>
      <c r="M117" s="505">
        <f t="shared" si="18"/>
        <v>0</v>
      </c>
      <c r="N117" s="513"/>
      <c r="O117" s="505">
        <f t="shared" si="19"/>
        <v>0</v>
      </c>
      <c r="P117" s="505">
        <f t="shared" si="20"/>
        <v>0</v>
      </c>
      <c r="Q117" s="244"/>
      <c r="R117" s="244"/>
      <c r="S117" s="244"/>
      <c r="T117" s="244"/>
      <c r="U117" s="244"/>
    </row>
    <row r="118" spans="2:21">
      <c r="B118" s="145" t="str">
        <f t="shared" si="24"/>
        <v/>
      </c>
      <c r="C118" s="496">
        <f>IF(D94="","-",+C117+1)</f>
        <v>2032</v>
      </c>
      <c r="D118" s="350">
        <f>IF(F117+SUM(E$100:E117)=D$93,F117,D$93-SUM(E$100:E117))</f>
        <v>5311910.8328516223</v>
      </c>
      <c r="E118" s="629">
        <f t="shared" si="26"/>
        <v>530178.80000000005</v>
      </c>
      <c r="F118" s="511">
        <f t="shared" si="27"/>
        <v>4781732.0328516224</v>
      </c>
      <c r="G118" s="511">
        <f t="shared" si="28"/>
        <v>5046821.4328516219</v>
      </c>
      <c r="H118" s="646">
        <f t="shared" si="30"/>
        <v>1125512.0161590683</v>
      </c>
      <c r="I118" s="630">
        <f t="shared" si="29"/>
        <v>1125512.0161590683</v>
      </c>
      <c r="J118" s="505">
        <f t="shared" si="25"/>
        <v>0</v>
      </c>
      <c r="K118" s="505"/>
      <c r="L118" s="513"/>
      <c r="M118" s="505">
        <f t="shared" si="18"/>
        <v>0</v>
      </c>
      <c r="N118" s="513"/>
      <c r="O118" s="505">
        <f t="shared" si="19"/>
        <v>0</v>
      </c>
      <c r="P118" s="505">
        <f t="shared" si="20"/>
        <v>0</v>
      </c>
      <c r="Q118" s="244"/>
      <c r="R118" s="244"/>
      <c r="S118" s="244"/>
      <c r="T118" s="244"/>
      <c r="U118" s="244"/>
    </row>
    <row r="119" spans="2:21">
      <c r="B119" s="145" t="str">
        <f t="shared" si="24"/>
        <v/>
      </c>
      <c r="C119" s="496">
        <f>IF(D94="","-",+C118+1)</f>
        <v>2033</v>
      </c>
      <c r="D119" s="350">
        <f>IF(F118+SUM(E$100:E118)=D$93,F118,D$93-SUM(E$100:E118))</f>
        <v>4781732.0328516224</v>
      </c>
      <c r="E119" s="629">
        <f t="shared" si="26"/>
        <v>530178.80000000005</v>
      </c>
      <c r="F119" s="511">
        <f t="shared" si="27"/>
        <v>4251553.2328516226</v>
      </c>
      <c r="G119" s="511">
        <f t="shared" si="28"/>
        <v>4516642.632851623</v>
      </c>
      <c r="H119" s="646">
        <f t="shared" si="30"/>
        <v>1062971.057588832</v>
      </c>
      <c r="I119" s="630">
        <f t="shared" si="29"/>
        <v>1062971.057588832</v>
      </c>
      <c r="J119" s="505">
        <f t="shared" si="25"/>
        <v>0</v>
      </c>
      <c r="K119" s="505"/>
      <c r="L119" s="513"/>
      <c r="M119" s="505">
        <f t="shared" si="18"/>
        <v>0</v>
      </c>
      <c r="N119" s="513"/>
      <c r="O119" s="505">
        <f t="shared" si="19"/>
        <v>0</v>
      </c>
      <c r="P119" s="505">
        <f t="shared" si="20"/>
        <v>0</v>
      </c>
      <c r="Q119" s="244"/>
      <c r="R119" s="244"/>
      <c r="S119" s="244"/>
      <c r="T119" s="244"/>
      <c r="U119" s="244"/>
    </row>
    <row r="120" spans="2:21">
      <c r="B120" s="145" t="str">
        <f t="shared" si="24"/>
        <v/>
      </c>
      <c r="C120" s="496">
        <f>IF(D94="","-",+C119+1)</f>
        <v>2034</v>
      </c>
      <c r="D120" s="350">
        <f>IF(F119+SUM(E$100:E119)=D$93,F119,D$93-SUM(E$100:E119))</f>
        <v>4251553.2328516226</v>
      </c>
      <c r="E120" s="629">
        <f t="shared" si="26"/>
        <v>530178.80000000005</v>
      </c>
      <c r="F120" s="511">
        <f t="shared" si="27"/>
        <v>3721374.4328516228</v>
      </c>
      <c r="G120" s="511">
        <f t="shared" si="28"/>
        <v>3986463.8328516227</v>
      </c>
      <c r="H120" s="646">
        <f t="shared" si="30"/>
        <v>1000430.0990185953</v>
      </c>
      <c r="I120" s="630">
        <f t="shared" si="29"/>
        <v>1000430.0990185953</v>
      </c>
      <c r="J120" s="505">
        <f t="shared" si="25"/>
        <v>0</v>
      </c>
      <c r="K120" s="505"/>
      <c r="L120" s="513"/>
      <c r="M120" s="505">
        <f t="shared" si="18"/>
        <v>0</v>
      </c>
      <c r="N120" s="513"/>
      <c r="O120" s="505">
        <f t="shared" si="19"/>
        <v>0</v>
      </c>
      <c r="P120" s="505">
        <f t="shared" si="20"/>
        <v>0</v>
      </c>
      <c r="Q120" s="244"/>
      <c r="R120" s="244"/>
      <c r="S120" s="244"/>
      <c r="T120" s="244"/>
      <c r="U120" s="244"/>
    </row>
    <row r="121" spans="2:21">
      <c r="B121" s="145" t="str">
        <f t="shared" si="24"/>
        <v/>
      </c>
      <c r="C121" s="496">
        <f>IF(D94="","-",+C120+1)</f>
        <v>2035</v>
      </c>
      <c r="D121" s="350">
        <f>IF(F120+SUM(E$100:E120)=D$93,F120,D$93-SUM(E$100:E120))</f>
        <v>3721374.4328516228</v>
      </c>
      <c r="E121" s="629">
        <f t="shared" si="26"/>
        <v>530178.80000000005</v>
      </c>
      <c r="F121" s="511">
        <f t="shared" si="27"/>
        <v>3191195.632851623</v>
      </c>
      <c r="G121" s="511">
        <f t="shared" si="28"/>
        <v>3456285.0328516229</v>
      </c>
      <c r="H121" s="646">
        <f t="shared" si="30"/>
        <v>937889.14044835872</v>
      </c>
      <c r="I121" s="630">
        <f t="shared" si="29"/>
        <v>937889.14044835872</v>
      </c>
      <c r="J121" s="505">
        <f t="shared" si="25"/>
        <v>0</v>
      </c>
      <c r="K121" s="505"/>
      <c r="L121" s="513"/>
      <c r="M121" s="505">
        <f t="shared" si="18"/>
        <v>0</v>
      </c>
      <c r="N121" s="513"/>
      <c r="O121" s="505">
        <f t="shared" si="19"/>
        <v>0</v>
      </c>
      <c r="P121" s="505">
        <f t="shared" si="20"/>
        <v>0</v>
      </c>
      <c r="Q121" s="244"/>
      <c r="R121" s="244"/>
      <c r="S121" s="244"/>
      <c r="T121" s="244"/>
      <c r="U121" s="244"/>
    </row>
    <row r="122" spans="2:21">
      <c r="B122" s="145" t="str">
        <f t="shared" si="24"/>
        <v/>
      </c>
      <c r="C122" s="496">
        <f>IF(D94="","-",+C121+1)</f>
        <v>2036</v>
      </c>
      <c r="D122" s="350">
        <f>IF(F121+SUM(E$100:E121)=D$93,F121,D$93-SUM(E$100:E121))</f>
        <v>3191195.632851623</v>
      </c>
      <c r="E122" s="629">
        <f t="shared" si="26"/>
        <v>530178.80000000005</v>
      </c>
      <c r="F122" s="511">
        <f t="shared" si="27"/>
        <v>2661016.8328516232</v>
      </c>
      <c r="G122" s="511">
        <f t="shared" si="28"/>
        <v>2926106.2328516231</v>
      </c>
      <c r="H122" s="646">
        <f t="shared" si="30"/>
        <v>875348.18187812204</v>
      </c>
      <c r="I122" s="630">
        <f t="shared" si="29"/>
        <v>875348.18187812204</v>
      </c>
      <c r="J122" s="505">
        <f t="shared" si="25"/>
        <v>0</v>
      </c>
      <c r="K122" s="505"/>
      <c r="L122" s="513"/>
      <c r="M122" s="505">
        <f t="shared" si="18"/>
        <v>0</v>
      </c>
      <c r="N122" s="513"/>
      <c r="O122" s="505">
        <f t="shared" si="19"/>
        <v>0</v>
      </c>
      <c r="P122" s="505">
        <f t="shared" si="20"/>
        <v>0</v>
      </c>
      <c r="Q122" s="244"/>
      <c r="R122" s="244"/>
      <c r="S122" s="244"/>
      <c r="T122" s="244"/>
      <c r="U122" s="244"/>
    </row>
    <row r="123" spans="2:21">
      <c r="B123" s="145" t="str">
        <f t="shared" si="24"/>
        <v/>
      </c>
      <c r="C123" s="496">
        <f>IF(D94="","-",+C122+1)</f>
        <v>2037</v>
      </c>
      <c r="D123" s="350">
        <f>IF(F122+SUM(E$100:E122)=D$93,F122,D$93-SUM(E$100:E122))</f>
        <v>2661016.8328516232</v>
      </c>
      <c r="E123" s="629">
        <f t="shared" si="26"/>
        <v>530178.80000000005</v>
      </c>
      <c r="F123" s="511">
        <f t="shared" si="27"/>
        <v>2130838.0328516234</v>
      </c>
      <c r="G123" s="511">
        <f t="shared" si="28"/>
        <v>2395927.4328516233</v>
      </c>
      <c r="H123" s="646">
        <f t="shared" si="30"/>
        <v>812807.22330788546</v>
      </c>
      <c r="I123" s="630">
        <f t="shared" si="29"/>
        <v>812807.22330788546</v>
      </c>
      <c r="J123" s="505">
        <f t="shared" si="25"/>
        <v>0</v>
      </c>
      <c r="K123" s="505"/>
      <c r="L123" s="513"/>
      <c r="M123" s="505">
        <f t="shared" si="18"/>
        <v>0</v>
      </c>
      <c r="N123" s="513"/>
      <c r="O123" s="505">
        <f t="shared" si="19"/>
        <v>0</v>
      </c>
      <c r="P123" s="505">
        <f t="shared" si="20"/>
        <v>0</v>
      </c>
      <c r="Q123" s="244"/>
      <c r="R123" s="244"/>
      <c r="S123" s="244"/>
      <c r="T123" s="244"/>
      <c r="U123" s="244"/>
    </row>
    <row r="124" spans="2:21">
      <c r="B124" s="145" t="str">
        <f t="shared" si="24"/>
        <v/>
      </c>
      <c r="C124" s="496">
        <f>IF(D94="","-",+C123+1)</f>
        <v>2038</v>
      </c>
      <c r="D124" s="350">
        <f>IF(F123+SUM(E$100:E123)=D$93,F123,D$93-SUM(E$100:E123))</f>
        <v>2130838.0328516234</v>
      </c>
      <c r="E124" s="629">
        <f t="shared" si="26"/>
        <v>530178.80000000005</v>
      </c>
      <c r="F124" s="511">
        <f t="shared" si="27"/>
        <v>1600659.2328516233</v>
      </c>
      <c r="G124" s="511">
        <f t="shared" si="28"/>
        <v>1865748.6328516235</v>
      </c>
      <c r="H124" s="646">
        <f t="shared" si="30"/>
        <v>750266.26473764889</v>
      </c>
      <c r="I124" s="630">
        <f t="shared" si="29"/>
        <v>750266.26473764889</v>
      </c>
      <c r="J124" s="505">
        <f t="shared" si="25"/>
        <v>0</v>
      </c>
      <c r="K124" s="505"/>
      <c r="L124" s="513"/>
      <c r="M124" s="505">
        <f t="shared" si="18"/>
        <v>0</v>
      </c>
      <c r="N124" s="513"/>
      <c r="O124" s="505">
        <f t="shared" si="19"/>
        <v>0</v>
      </c>
      <c r="P124" s="505">
        <f t="shared" si="20"/>
        <v>0</v>
      </c>
      <c r="Q124" s="244"/>
      <c r="R124" s="244"/>
      <c r="S124" s="244"/>
      <c r="T124" s="244"/>
      <c r="U124" s="244"/>
    </row>
    <row r="125" spans="2:21">
      <c r="B125" s="145" t="str">
        <f t="shared" si="24"/>
        <v/>
      </c>
      <c r="C125" s="496">
        <f>IF(D94="","-",+C124+1)</f>
        <v>2039</v>
      </c>
      <c r="D125" s="350">
        <f>IF(F124+SUM(E$100:E124)=D$93,F124,D$93-SUM(E$100:E124))</f>
        <v>1600659.2328516233</v>
      </c>
      <c r="E125" s="629">
        <f t="shared" si="26"/>
        <v>530178.80000000005</v>
      </c>
      <c r="F125" s="511">
        <f t="shared" si="27"/>
        <v>1070480.4328516233</v>
      </c>
      <c r="G125" s="511">
        <f t="shared" si="28"/>
        <v>1335569.8328516232</v>
      </c>
      <c r="H125" s="646">
        <f t="shared" si="30"/>
        <v>687725.30616741232</v>
      </c>
      <c r="I125" s="630">
        <f t="shared" si="29"/>
        <v>687725.30616741232</v>
      </c>
      <c r="J125" s="505">
        <f t="shared" si="25"/>
        <v>0</v>
      </c>
      <c r="K125" s="505"/>
      <c r="L125" s="513"/>
      <c r="M125" s="505">
        <f t="shared" si="18"/>
        <v>0</v>
      </c>
      <c r="N125" s="513"/>
      <c r="O125" s="505">
        <f t="shared" si="19"/>
        <v>0</v>
      </c>
      <c r="P125" s="505">
        <f t="shared" si="20"/>
        <v>0</v>
      </c>
      <c r="Q125" s="244"/>
      <c r="R125" s="244"/>
      <c r="S125" s="244"/>
      <c r="T125" s="244"/>
      <c r="U125" s="244"/>
    </row>
    <row r="126" spans="2:21">
      <c r="B126" s="145" t="str">
        <f t="shared" si="24"/>
        <v/>
      </c>
      <c r="C126" s="496">
        <f>IF(D94="","-",+C125+1)</f>
        <v>2040</v>
      </c>
      <c r="D126" s="350">
        <f>IF(F125+SUM(E$100:E125)=D$93,F125,D$93-SUM(E$100:E125))</f>
        <v>1070480.4328516233</v>
      </c>
      <c r="E126" s="629">
        <f t="shared" si="26"/>
        <v>530178.80000000005</v>
      </c>
      <c r="F126" s="511">
        <f t="shared" si="27"/>
        <v>540301.63285162323</v>
      </c>
      <c r="G126" s="511">
        <f t="shared" si="28"/>
        <v>805391.03285162325</v>
      </c>
      <c r="H126" s="646">
        <f t="shared" si="30"/>
        <v>625184.34759717563</v>
      </c>
      <c r="I126" s="630">
        <f t="shared" si="29"/>
        <v>625184.34759717563</v>
      </c>
      <c r="J126" s="505">
        <f t="shared" si="25"/>
        <v>0</v>
      </c>
      <c r="K126" s="505"/>
      <c r="L126" s="513"/>
      <c r="M126" s="505">
        <f t="shared" si="18"/>
        <v>0</v>
      </c>
      <c r="N126" s="513"/>
      <c r="O126" s="505">
        <f t="shared" si="19"/>
        <v>0</v>
      </c>
      <c r="P126" s="505">
        <f t="shared" si="20"/>
        <v>0</v>
      </c>
      <c r="Q126" s="244"/>
      <c r="R126" s="244"/>
      <c r="S126" s="244"/>
      <c r="T126" s="244"/>
      <c r="U126" s="244"/>
    </row>
    <row r="127" spans="2:21">
      <c r="B127" s="145" t="str">
        <f t="shared" si="24"/>
        <v/>
      </c>
      <c r="C127" s="496">
        <f>IF(D94="","-",+C126+1)</f>
        <v>2041</v>
      </c>
      <c r="D127" s="350">
        <f>IF(F126+SUM(E$100:E126)=D$93,F126,D$93-SUM(E$100:E126))</f>
        <v>540301.63285162323</v>
      </c>
      <c r="E127" s="629">
        <f t="shared" si="26"/>
        <v>530178.80000000005</v>
      </c>
      <c r="F127" s="511">
        <f t="shared" si="27"/>
        <v>10122.832851623185</v>
      </c>
      <c r="G127" s="511">
        <f t="shared" si="28"/>
        <v>275212.23285162321</v>
      </c>
      <c r="H127" s="646">
        <f t="shared" si="30"/>
        <v>562643.38902693905</v>
      </c>
      <c r="I127" s="630">
        <f t="shared" si="29"/>
        <v>562643.38902693905</v>
      </c>
      <c r="J127" s="505">
        <f t="shared" si="25"/>
        <v>0</v>
      </c>
      <c r="K127" s="505"/>
      <c r="L127" s="513"/>
      <c r="M127" s="505">
        <f t="shared" si="18"/>
        <v>0</v>
      </c>
      <c r="N127" s="513"/>
      <c r="O127" s="505">
        <f t="shared" si="19"/>
        <v>0</v>
      </c>
      <c r="P127" s="505">
        <f t="shared" si="20"/>
        <v>0</v>
      </c>
      <c r="Q127" s="244"/>
      <c r="R127" s="244"/>
      <c r="S127" s="244"/>
      <c r="T127" s="244"/>
      <c r="U127" s="244"/>
    </row>
    <row r="128" spans="2:21">
      <c r="B128" s="145" t="str">
        <f t="shared" si="24"/>
        <v/>
      </c>
      <c r="C128" s="496">
        <f>IF(D94="","-",+C127+1)</f>
        <v>2042</v>
      </c>
      <c r="D128" s="350">
        <f>IF(F127+SUM(E$100:E127)=D$93,F127,D$93-SUM(E$100:E127))</f>
        <v>10122.832851623185</v>
      </c>
      <c r="E128" s="629">
        <f t="shared" si="26"/>
        <v>10122.832851623185</v>
      </c>
      <c r="F128" s="511">
        <f t="shared" si="27"/>
        <v>0</v>
      </c>
      <c r="G128" s="511">
        <f t="shared" si="28"/>
        <v>5061.4164258115925</v>
      </c>
      <c r="H128" s="646">
        <f t="shared" si="30"/>
        <v>10719.887722533524</v>
      </c>
      <c r="I128" s="630">
        <f t="shared" si="29"/>
        <v>10719.887722533524</v>
      </c>
      <c r="J128" s="505">
        <f t="shared" si="25"/>
        <v>0</v>
      </c>
      <c r="K128" s="505"/>
      <c r="L128" s="513"/>
      <c r="M128" s="505">
        <f t="shared" si="18"/>
        <v>0</v>
      </c>
      <c r="N128" s="513"/>
      <c r="O128" s="505">
        <f t="shared" si="19"/>
        <v>0</v>
      </c>
      <c r="P128" s="505">
        <f t="shared" si="20"/>
        <v>0</v>
      </c>
      <c r="Q128" s="244"/>
      <c r="R128" s="244"/>
      <c r="S128" s="244"/>
      <c r="T128" s="244"/>
      <c r="U128" s="244"/>
    </row>
    <row r="129" spans="2:21">
      <c r="B129" s="145" t="str">
        <f t="shared" si="24"/>
        <v/>
      </c>
      <c r="C129" s="496">
        <f>IF(D94="","-",+C128+1)</f>
        <v>2043</v>
      </c>
      <c r="D129" s="350">
        <f>IF(F128+SUM(E$100:E128)=D$93,F128,D$93-SUM(E$100:E128))</f>
        <v>0</v>
      </c>
      <c r="E129" s="629">
        <f t="shared" si="26"/>
        <v>0</v>
      </c>
      <c r="F129" s="511">
        <f t="shared" si="27"/>
        <v>0</v>
      </c>
      <c r="G129" s="511">
        <f t="shared" si="28"/>
        <v>0</v>
      </c>
      <c r="H129" s="646">
        <f t="shared" si="30"/>
        <v>0</v>
      </c>
      <c r="I129" s="630">
        <f t="shared" si="29"/>
        <v>0</v>
      </c>
      <c r="J129" s="505">
        <f t="shared" si="25"/>
        <v>0</v>
      </c>
      <c r="K129" s="505"/>
      <c r="L129" s="513"/>
      <c r="M129" s="505">
        <f t="shared" si="18"/>
        <v>0</v>
      </c>
      <c r="N129" s="513"/>
      <c r="O129" s="505">
        <f t="shared" si="19"/>
        <v>0</v>
      </c>
      <c r="P129" s="505">
        <f t="shared" si="20"/>
        <v>0</v>
      </c>
      <c r="Q129" s="244"/>
      <c r="R129" s="244"/>
      <c r="S129" s="244"/>
      <c r="T129" s="244"/>
      <c r="U129" s="244"/>
    </row>
    <row r="130" spans="2:21">
      <c r="B130" s="145" t="str">
        <f t="shared" si="24"/>
        <v/>
      </c>
      <c r="C130" s="496">
        <f>IF(D94="","-",+C129+1)</f>
        <v>2044</v>
      </c>
      <c r="D130" s="350">
        <f>IF(F129+SUM(E$100:E129)=D$93,F129,D$93-SUM(E$100:E129))</f>
        <v>0</v>
      </c>
      <c r="E130" s="629">
        <f t="shared" si="26"/>
        <v>0</v>
      </c>
      <c r="F130" s="511">
        <f t="shared" si="27"/>
        <v>0</v>
      </c>
      <c r="G130" s="511">
        <f t="shared" si="28"/>
        <v>0</v>
      </c>
      <c r="H130" s="646">
        <f t="shared" si="30"/>
        <v>0</v>
      </c>
      <c r="I130" s="630">
        <f t="shared" si="29"/>
        <v>0</v>
      </c>
      <c r="J130" s="505">
        <f t="shared" si="25"/>
        <v>0</v>
      </c>
      <c r="K130" s="505"/>
      <c r="L130" s="513"/>
      <c r="M130" s="505">
        <f t="shared" si="18"/>
        <v>0</v>
      </c>
      <c r="N130" s="513"/>
      <c r="O130" s="505">
        <f t="shared" si="19"/>
        <v>0</v>
      </c>
      <c r="P130" s="505">
        <f t="shared" si="20"/>
        <v>0</v>
      </c>
      <c r="Q130" s="244"/>
      <c r="R130" s="244"/>
      <c r="S130" s="244"/>
      <c r="T130" s="244"/>
      <c r="U130" s="244"/>
    </row>
    <row r="131" spans="2:21">
      <c r="B131" s="145" t="str">
        <f t="shared" si="24"/>
        <v/>
      </c>
      <c r="C131" s="496">
        <f>IF(D94="","-",+C130+1)</f>
        <v>2045</v>
      </c>
      <c r="D131" s="350">
        <f>IF(F130+SUM(E$100:E130)=D$93,F130,D$93-SUM(E$100:E130))</f>
        <v>0</v>
      </c>
      <c r="E131" s="629">
        <f t="shared" si="26"/>
        <v>0</v>
      </c>
      <c r="F131" s="511">
        <f t="shared" si="27"/>
        <v>0</v>
      </c>
      <c r="G131" s="511">
        <f t="shared" si="28"/>
        <v>0</v>
      </c>
      <c r="H131" s="646">
        <f t="shared" si="30"/>
        <v>0</v>
      </c>
      <c r="I131" s="630">
        <f t="shared" si="29"/>
        <v>0</v>
      </c>
      <c r="J131" s="505">
        <f t="shared" si="25"/>
        <v>0</v>
      </c>
      <c r="K131" s="505"/>
      <c r="L131" s="513"/>
      <c r="M131" s="505">
        <f t="shared" si="18"/>
        <v>0</v>
      </c>
      <c r="N131" s="513"/>
      <c r="O131" s="505">
        <f t="shared" si="19"/>
        <v>0</v>
      </c>
      <c r="P131" s="505">
        <f t="shared" si="20"/>
        <v>0</v>
      </c>
      <c r="Q131" s="244"/>
      <c r="R131" s="244"/>
      <c r="S131" s="244"/>
      <c r="T131" s="244"/>
      <c r="U131" s="244"/>
    </row>
    <row r="132" spans="2:21">
      <c r="B132" s="145" t="str">
        <f t="shared" si="24"/>
        <v/>
      </c>
      <c r="C132" s="496">
        <f>IF(D94="","-",+C131+1)</f>
        <v>2046</v>
      </c>
      <c r="D132" s="350">
        <f>IF(F131+SUM(E$100:E131)=D$93,F131,D$93-SUM(E$100:E131))</f>
        <v>0</v>
      </c>
      <c r="E132" s="629">
        <f t="shared" si="26"/>
        <v>0</v>
      </c>
      <c r="F132" s="511">
        <f t="shared" si="27"/>
        <v>0</v>
      </c>
      <c r="G132" s="511">
        <f t="shared" si="28"/>
        <v>0</v>
      </c>
      <c r="H132" s="646">
        <f t="shared" si="30"/>
        <v>0</v>
      </c>
      <c r="I132" s="630">
        <f t="shared" si="29"/>
        <v>0</v>
      </c>
      <c r="J132" s="505">
        <f t="shared" si="25"/>
        <v>0</v>
      </c>
      <c r="K132" s="505"/>
      <c r="L132" s="513"/>
      <c r="M132" s="505">
        <f t="shared" ref="M132:M155" si="31">IF(L542&lt;&gt;0,+H542-L542,0)</f>
        <v>0</v>
      </c>
      <c r="N132" s="513"/>
      <c r="O132" s="505">
        <f t="shared" ref="O132:O155" si="32">IF(N542&lt;&gt;0,+I542-N542,0)</f>
        <v>0</v>
      </c>
      <c r="P132" s="505">
        <f t="shared" ref="P132:P155" si="33">+O542-M542</f>
        <v>0</v>
      </c>
      <c r="Q132" s="244"/>
      <c r="R132" s="244"/>
      <c r="S132" s="244"/>
      <c r="T132" s="244"/>
      <c r="U132" s="244"/>
    </row>
    <row r="133" spans="2:21">
      <c r="B133" s="145" t="str">
        <f t="shared" si="24"/>
        <v/>
      </c>
      <c r="C133" s="496">
        <f>IF(D94="","-",+C132+1)</f>
        <v>2047</v>
      </c>
      <c r="D133" s="350">
        <f>IF(F132+SUM(E$100:E132)=D$93,F132,D$93-SUM(E$100:E132))</f>
        <v>0</v>
      </c>
      <c r="E133" s="629">
        <f t="shared" si="26"/>
        <v>0</v>
      </c>
      <c r="F133" s="511">
        <f t="shared" si="27"/>
        <v>0</v>
      </c>
      <c r="G133" s="511">
        <f t="shared" si="28"/>
        <v>0</v>
      </c>
      <c r="H133" s="646">
        <f t="shared" si="30"/>
        <v>0</v>
      </c>
      <c r="I133" s="630">
        <f t="shared" si="29"/>
        <v>0</v>
      </c>
      <c r="J133" s="505">
        <f t="shared" si="25"/>
        <v>0</v>
      </c>
      <c r="K133" s="505"/>
      <c r="L133" s="513"/>
      <c r="M133" s="505">
        <f t="shared" si="31"/>
        <v>0</v>
      </c>
      <c r="N133" s="513"/>
      <c r="O133" s="505">
        <f t="shared" si="32"/>
        <v>0</v>
      </c>
      <c r="P133" s="505">
        <f t="shared" si="33"/>
        <v>0</v>
      </c>
      <c r="Q133" s="244"/>
      <c r="R133" s="244"/>
      <c r="S133" s="244"/>
      <c r="T133" s="244"/>
      <c r="U133" s="244"/>
    </row>
    <row r="134" spans="2:21">
      <c r="B134" s="145" t="str">
        <f t="shared" si="24"/>
        <v/>
      </c>
      <c r="C134" s="496">
        <f>IF(D94="","-",+C133+1)</f>
        <v>2048</v>
      </c>
      <c r="D134" s="350">
        <f>IF(F133+SUM(E$100:E133)=D$93,F133,D$93-SUM(E$100:E133))</f>
        <v>0</v>
      </c>
      <c r="E134" s="629">
        <f t="shared" si="26"/>
        <v>0</v>
      </c>
      <c r="F134" s="511">
        <f t="shared" si="27"/>
        <v>0</v>
      </c>
      <c r="G134" s="511">
        <f t="shared" si="28"/>
        <v>0</v>
      </c>
      <c r="H134" s="646">
        <f t="shared" si="30"/>
        <v>0</v>
      </c>
      <c r="I134" s="630">
        <f t="shared" si="29"/>
        <v>0</v>
      </c>
      <c r="J134" s="505">
        <f t="shared" si="25"/>
        <v>0</v>
      </c>
      <c r="K134" s="505"/>
      <c r="L134" s="513"/>
      <c r="M134" s="505">
        <f t="shared" si="31"/>
        <v>0</v>
      </c>
      <c r="N134" s="513"/>
      <c r="O134" s="505">
        <f t="shared" si="32"/>
        <v>0</v>
      </c>
      <c r="P134" s="505">
        <f t="shared" si="33"/>
        <v>0</v>
      </c>
      <c r="Q134" s="244"/>
      <c r="R134" s="244"/>
      <c r="S134" s="244"/>
      <c r="T134" s="244"/>
      <c r="U134" s="244"/>
    </row>
    <row r="135" spans="2:21">
      <c r="B135" s="145" t="str">
        <f t="shared" si="24"/>
        <v/>
      </c>
      <c r="C135" s="496">
        <f>IF(D94="","-",+C134+1)</f>
        <v>2049</v>
      </c>
      <c r="D135" s="350">
        <f>IF(F134+SUM(E$100:E134)=D$93,F134,D$93-SUM(E$100:E134))</f>
        <v>0</v>
      </c>
      <c r="E135" s="629">
        <f t="shared" si="26"/>
        <v>0</v>
      </c>
      <c r="F135" s="511">
        <f t="shared" si="27"/>
        <v>0</v>
      </c>
      <c r="G135" s="511">
        <f t="shared" si="28"/>
        <v>0</v>
      </c>
      <c r="H135" s="646">
        <f t="shared" si="30"/>
        <v>0</v>
      </c>
      <c r="I135" s="630">
        <f t="shared" si="29"/>
        <v>0</v>
      </c>
      <c r="J135" s="505">
        <f t="shared" si="25"/>
        <v>0</v>
      </c>
      <c r="K135" s="505"/>
      <c r="L135" s="513"/>
      <c r="M135" s="505">
        <f t="shared" si="31"/>
        <v>0</v>
      </c>
      <c r="N135" s="513"/>
      <c r="O135" s="505">
        <f t="shared" si="32"/>
        <v>0</v>
      </c>
      <c r="P135" s="505">
        <f t="shared" si="33"/>
        <v>0</v>
      </c>
      <c r="Q135" s="244"/>
      <c r="R135" s="244"/>
      <c r="S135" s="244"/>
      <c r="T135" s="244"/>
      <c r="U135" s="244"/>
    </row>
    <row r="136" spans="2:21">
      <c r="B136" s="145" t="str">
        <f t="shared" si="24"/>
        <v/>
      </c>
      <c r="C136" s="496">
        <f>IF(D94="","-",+C135+1)</f>
        <v>2050</v>
      </c>
      <c r="D136" s="350">
        <f>IF(F135+SUM(E$100:E135)=D$93,F135,D$93-SUM(E$100:E135))</f>
        <v>0</v>
      </c>
      <c r="E136" s="629">
        <f t="shared" si="26"/>
        <v>0</v>
      </c>
      <c r="F136" s="511">
        <f t="shared" si="27"/>
        <v>0</v>
      </c>
      <c r="G136" s="511">
        <f t="shared" si="28"/>
        <v>0</v>
      </c>
      <c r="H136" s="646">
        <f t="shared" si="30"/>
        <v>0</v>
      </c>
      <c r="I136" s="630">
        <f t="shared" si="29"/>
        <v>0</v>
      </c>
      <c r="J136" s="505">
        <f t="shared" si="25"/>
        <v>0</v>
      </c>
      <c r="K136" s="505"/>
      <c r="L136" s="513"/>
      <c r="M136" s="505">
        <f t="shared" si="31"/>
        <v>0</v>
      </c>
      <c r="N136" s="513"/>
      <c r="O136" s="505">
        <f t="shared" si="32"/>
        <v>0</v>
      </c>
      <c r="P136" s="505">
        <f t="shared" si="33"/>
        <v>0</v>
      </c>
      <c r="Q136" s="244"/>
      <c r="R136" s="244"/>
      <c r="S136" s="244"/>
      <c r="T136" s="244"/>
      <c r="U136" s="244"/>
    </row>
    <row r="137" spans="2:21">
      <c r="B137" s="145" t="str">
        <f t="shared" si="24"/>
        <v/>
      </c>
      <c r="C137" s="496">
        <f>IF(D94="","-",+C136+1)</f>
        <v>2051</v>
      </c>
      <c r="D137" s="350">
        <f>IF(F136+SUM(E$100:E136)=D$93,F136,D$93-SUM(E$100:E136))</f>
        <v>0</v>
      </c>
      <c r="E137" s="629">
        <f t="shared" si="26"/>
        <v>0</v>
      </c>
      <c r="F137" s="511">
        <f t="shared" si="27"/>
        <v>0</v>
      </c>
      <c r="G137" s="511">
        <f t="shared" si="28"/>
        <v>0</v>
      </c>
      <c r="H137" s="646">
        <f t="shared" si="30"/>
        <v>0</v>
      </c>
      <c r="I137" s="630">
        <f t="shared" si="29"/>
        <v>0</v>
      </c>
      <c r="J137" s="505">
        <f t="shared" si="25"/>
        <v>0</v>
      </c>
      <c r="K137" s="505"/>
      <c r="L137" s="513"/>
      <c r="M137" s="505">
        <f t="shared" si="31"/>
        <v>0</v>
      </c>
      <c r="N137" s="513"/>
      <c r="O137" s="505">
        <f t="shared" si="32"/>
        <v>0</v>
      </c>
      <c r="P137" s="505">
        <f t="shared" si="33"/>
        <v>0</v>
      </c>
      <c r="Q137" s="244"/>
      <c r="R137" s="244"/>
      <c r="S137" s="244"/>
      <c r="T137" s="244"/>
      <c r="U137" s="244"/>
    </row>
    <row r="138" spans="2:21">
      <c r="B138" s="145" t="str">
        <f t="shared" si="24"/>
        <v/>
      </c>
      <c r="C138" s="496">
        <f>IF(D94="","-",+C137+1)</f>
        <v>2052</v>
      </c>
      <c r="D138" s="350">
        <f>IF(F137+SUM(E$100:E137)=D$93,F137,D$93-SUM(E$100:E137))</f>
        <v>0</v>
      </c>
      <c r="E138" s="629">
        <f t="shared" si="26"/>
        <v>0</v>
      </c>
      <c r="F138" s="511">
        <f t="shared" si="27"/>
        <v>0</v>
      </c>
      <c r="G138" s="511">
        <f t="shared" si="28"/>
        <v>0</v>
      </c>
      <c r="H138" s="646">
        <f t="shared" si="30"/>
        <v>0</v>
      </c>
      <c r="I138" s="630">
        <f t="shared" si="29"/>
        <v>0</v>
      </c>
      <c r="J138" s="505">
        <f t="shared" si="25"/>
        <v>0</v>
      </c>
      <c r="K138" s="505"/>
      <c r="L138" s="513"/>
      <c r="M138" s="505">
        <f t="shared" si="31"/>
        <v>0</v>
      </c>
      <c r="N138" s="513"/>
      <c r="O138" s="505">
        <f t="shared" si="32"/>
        <v>0</v>
      </c>
      <c r="P138" s="505">
        <f t="shared" si="33"/>
        <v>0</v>
      </c>
      <c r="Q138" s="244"/>
      <c r="R138" s="244"/>
      <c r="S138" s="244"/>
      <c r="T138" s="244"/>
      <c r="U138" s="244"/>
    </row>
    <row r="139" spans="2:21">
      <c r="B139" s="145" t="str">
        <f t="shared" si="24"/>
        <v/>
      </c>
      <c r="C139" s="496">
        <f>IF(D94="","-",+C138+1)</f>
        <v>2053</v>
      </c>
      <c r="D139" s="350">
        <f>IF(F138+SUM(E$100:E138)=D$93,F138,D$93-SUM(E$100:E138))</f>
        <v>0</v>
      </c>
      <c r="E139" s="629">
        <f t="shared" si="26"/>
        <v>0</v>
      </c>
      <c r="F139" s="511">
        <f t="shared" si="27"/>
        <v>0</v>
      </c>
      <c r="G139" s="511">
        <f t="shared" si="28"/>
        <v>0</v>
      </c>
      <c r="H139" s="646">
        <f t="shared" si="30"/>
        <v>0</v>
      </c>
      <c r="I139" s="630">
        <f t="shared" si="29"/>
        <v>0</v>
      </c>
      <c r="J139" s="505">
        <f t="shared" si="25"/>
        <v>0</v>
      </c>
      <c r="K139" s="505"/>
      <c r="L139" s="513"/>
      <c r="M139" s="505">
        <f t="shared" si="31"/>
        <v>0</v>
      </c>
      <c r="N139" s="513"/>
      <c r="O139" s="505">
        <f t="shared" si="32"/>
        <v>0</v>
      </c>
      <c r="P139" s="505">
        <f t="shared" si="33"/>
        <v>0</v>
      </c>
      <c r="Q139" s="244"/>
      <c r="R139" s="244"/>
      <c r="S139" s="244"/>
      <c r="T139" s="244"/>
      <c r="U139" s="244"/>
    </row>
    <row r="140" spans="2:21">
      <c r="B140" s="145" t="str">
        <f t="shared" si="24"/>
        <v/>
      </c>
      <c r="C140" s="496">
        <f>IF(D94="","-",+C139+1)</f>
        <v>2054</v>
      </c>
      <c r="D140" s="350">
        <f>IF(F139+SUM(E$100:E139)=D$93,F139,D$93-SUM(E$100:E139))</f>
        <v>0</v>
      </c>
      <c r="E140" s="629">
        <f t="shared" si="26"/>
        <v>0</v>
      </c>
      <c r="F140" s="511">
        <f t="shared" si="27"/>
        <v>0</v>
      </c>
      <c r="G140" s="511">
        <f t="shared" si="28"/>
        <v>0</v>
      </c>
      <c r="H140" s="646">
        <f t="shared" si="30"/>
        <v>0</v>
      </c>
      <c r="I140" s="630">
        <f t="shared" si="29"/>
        <v>0</v>
      </c>
      <c r="J140" s="505">
        <f t="shared" si="25"/>
        <v>0</v>
      </c>
      <c r="K140" s="505"/>
      <c r="L140" s="513"/>
      <c r="M140" s="505">
        <f t="shared" si="31"/>
        <v>0</v>
      </c>
      <c r="N140" s="513"/>
      <c r="O140" s="505">
        <f t="shared" si="32"/>
        <v>0</v>
      </c>
      <c r="P140" s="505">
        <f t="shared" si="33"/>
        <v>0</v>
      </c>
      <c r="Q140" s="244"/>
      <c r="R140" s="244"/>
      <c r="S140" s="244"/>
      <c r="T140" s="244"/>
      <c r="U140" s="244"/>
    </row>
    <row r="141" spans="2:21">
      <c r="B141" s="145" t="str">
        <f t="shared" si="24"/>
        <v/>
      </c>
      <c r="C141" s="496">
        <f>IF(D94="","-",+C140+1)</f>
        <v>2055</v>
      </c>
      <c r="D141" s="350">
        <f>IF(F140+SUM(E$100:E140)=D$93,F140,D$93-SUM(E$100:E140))</f>
        <v>0</v>
      </c>
      <c r="E141" s="629">
        <f t="shared" si="26"/>
        <v>0</v>
      </c>
      <c r="F141" s="511">
        <f t="shared" si="27"/>
        <v>0</v>
      </c>
      <c r="G141" s="511">
        <f t="shared" si="28"/>
        <v>0</v>
      </c>
      <c r="H141" s="646">
        <f t="shared" si="30"/>
        <v>0</v>
      </c>
      <c r="I141" s="630">
        <f t="shared" si="29"/>
        <v>0</v>
      </c>
      <c r="J141" s="505">
        <f t="shared" si="25"/>
        <v>0</v>
      </c>
      <c r="K141" s="505"/>
      <c r="L141" s="513"/>
      <c r="M141" s="505">
        <f t="shared" si="31"/>
        <v>0</v>
      </c>
      <c r="N141" s="513"/>
      <c r="O141" s="505">
        <f t="shared" si="32"/>
        <v>0</v>
      </c>
      <c r="P141" s="505">
        <f t="shared" si="33"/>
        <v>0</v>
      </c>
      <c r="Q141" s="244"/>
      <c r="R141" s="244"/>
      <c r="S141" s="244"/>
      <c r="T141" s="244"/>
      <c r="U141" s="244"/>
    </row>
    <row r="142" spans="2:21">
      <c r="B142" s="145" t="str">
        <f t="shared" si="24"/>
        <v/>
      </c>
      <c r="C142" s="496">
        <f>IF(D94="","-",+C141+1)</f>
        <v>2056</v>
      </c>
      <c r="D142" s="350">
        <f>IF(F141+SUM(E$100:E141)=D$93,F141,D$93-SUM(E$100:E141))</f>
        <v>0</v>
      </c>
      <c r="E142" s="629">
        <f t="shared" si="26"/>
        <v>0</v>
      </c>
      <c r="F142" s="511">
        <f t="shared" si="27"/>
        <v>0</v>
      </c>
      <c r="G142" s="511">
        <f t="shared" si="28"/>
        <v>0</v>
      </c>
      <c r="H142" s="646">
        <f t="shared" si="30"/>
        <v>0</v>
      </c>
      <c r="I142" s="630">
        <f t="shared" si="29"/>
        <v>0</v>
      </c>
      <c r="J142" s="505">
        <f t="shared" si="25"/>
        <v>0</v>
      </c>
      <c r="K142" s="505"/>
      <c r="L142" s="513"/>
      <c r="M142" s="505">
        <f t="shared" si="31"/>
        <v>0</v>
      </c>
      <c r="N142" s="513"/>
      <c r="O142" s="505">
        <f t="shared" si="32"/>
        <v>0</v>
      </c>
      <c r="P142" s="505">
        <f t="shared" si="33"/>
        <v>0</v>
      </c>
      <c r="Q142" s="244"/>
      <c r="R142" s="244"/>
      <c r="S142" s="244"/>
      <c r="T142" s="244"/>
      <c r="U142" s="244"/>
    </row>
    <row r="143" spans="2:21">
      <c r="B143" s="145" t="str">
        <f t="shared" si="24"/>
        <v/>
      </c>
      <c r="C143" s="496">
        <f>IF(D94="","-",+C142+1)</f>
        <v>2057</v>
      </c>
      <c r="D143" s="350">
        <f>IF(F142+SUM(E$100:E142)=D$93,F142,D$93-SUM(E$100:E142))</f>
        <v>0</v>
      </c>
      <c r="E143" s="629">
        <f t="shared" si="26"/>
        <v>0</v>
      </c>
      <c r="F143" s="511">
        <f t="shared" si="27"/>
        <v>0</v>
      </c>
      <c r="G143" s="511">
        <f t="shared" si="28"/>
        <v>0</v>
      </c>
      <c r="H143" s="646">
        <f t="shared" si="30"/>
        <v>0</v>
      </c>
      <c r="I143" s="630">
        <f t="shared" si="29"/>
        <v>0</v>
      </c>
      <c r="J143" s="505">
        <f t="shared" si="25"/>
        <v>0</v>
      </c>
      <c r="K143" s="505"/>
      <c r="L143" s="513"/>
      <c r="M143" s="505">
        <f t="shared" si="31"/>
        <v>0</v>
      </c>
      <c r="N143" s="513"/>
      <c r="O143" s="505">
        <f t="shared" si="32"/>
        <v>0</v>
      </c>
      <c r="P143" s="505">
        <f t="shared" si="33"/>
        <v>0</v>
      </c>
      <c r="Q143" s="244"/>
      <c r="R143" s="244"/>
      <c r="S143" s="244"/>
      <c r="T143" s="244"/>
      <c r="U143" s="244"/>
    </row>
    <row r="144" spans="2:21">
      <c r="B144" s="145" t="str">
        <f t="shared" si="24"/>
        <v/>
      </c>
      <c r="C144" s="496">
        <f>IF(D94="","-",+C143+1)</f>
        <v>2058</v>
      </c>
      <c r="D144" s="350">
        <f>IF(F143+SUM(E$100:E143)=D$93,F143,D$93-SUM(E$100:E143))</f>
        <v>0</v>
      </c>
      <c r="E144" s="629">
        <f t="shared" si="26"/>
        <v>0</v>
      </c>
      <c r="F144" s="511">
        <f t="shared" si="27"/>
        <v>0</v>
      </c>
      <c r="G144" s="511">
        <f t="shared" si="28"/>
        <v>0</v>
      </c>
      <c r="H144" s="646">
        <f t="shared" si="30"/>
        <v>0</v>
      </c>
      <c r="I144" s="630">
        <f t="shared" si="29"/>
        <v>0</v>
      </c>
      <c r="J144" s="505">
        <f t="shared" si="25"/>
        <v>0</v>
      </c>
      <c r="K144" s="505"/>
      <c r="L144" s="513"/>
      <c r="M144" s="505">
        <f t="shared" si="31"/>
        <v>0</v>
      </c>
      <c r="N144" s="513"/>
      <c r="O144" s="505">
        <f t="shared" si="32"/>
        <v>0</v>
      </c>
      <c r="P144" s="505">
        <f t="shared" si="33"/>
        <v>0</v>
      </c>
      <c r="Q144" s="244"/>
      <c r="R144" s="244"/>
      <c r="S144" s="244"/>
      <c r="T144" s="244"/>
      <c r="U144" s="244"/>
    </row>
    <row r="145" spans="2:21">
      <c r="B145" s="145" t="str">
        <f t="shared" si="24"/>
        <v/>
      </c>
      <c r="C145" s="496">
        <f>IF(D94="","-",+C144+1)</f>
        <v>2059</v>
      </c>
      <c r="D145" s="350">
        <f>IF(F144+SUM(E$100:E144)=D$93,F144,D$93-SUM(E$100:E144))</f>
        <v>0</v>
      </c>
      <c r="E145" s="629">
        <f t="shared" si="26"/>
        <v>0</v>
      </c>
      <c r="F145" s="511">
        <f t="shared" si="27"/>
        <v>0</v>
      </c>
      <c r="G145" s="511">
        <f t="shared" si="28"/>
        <v>0</v>
      </c>
      <c r="H145" s="646">
        <f t="shared" si="30"/>
        <v>0</v>
      </c>
      <c r="I145" s="630">
        <f t="shared" si="29"/>
        <v>0</v>
      </c>
      <c r="J145" s="505">
        <f t="shared" si="25"/>
        <v>0</v>
      </c>
      <c r="K145" s="505"/>
      <c r="L145" s="513"/>
      <c r="M145" s="505">
        <f t="shared" si="31"/>
        <v>0</v>
      </c>
      <c r="N145" s="513"/>
      <c r="O145" s="505">
        <f t="shared" si="32"/>
        <v>0</v>
      </c>
      <c r="P145" s="505">
        <f t="shared" si="33"/>
        <v>0</v>
      </c>
      <c r="Q145" s="244"/>
      <c r="R145" s="244"/>
      <c r="S145" s="244"/>
      <c r="T145" s="244"/>
      <c r="U145" s="244"/>
    </row>
    <row r="146" spans="2:21">
      <c r="B146" s="145" t="str">
        <f t="shared" si="24"/>
        <v/>
      </c>
      <c r="C146" s="496">
        <f>IF(D94="","-",+C145+1)</f>
        <v>2060</v>
      </c>
      <c r="D146" s="350">
        <f>IF(F145+SUM(E$100:E145)=D$93,F145,D$93-SUM(E$100:E145))</f>
        <v>0</v>
      </c>
      <c r="E146" s="629">
        <f t="shared" si="26"/>
        <v>0</v>
      </c>
      <c r="F146" s="511">
        <f t="shared" si="27"/>
        <v>0</v>
      </c>
      <c r="G146" s="511">
        <f t="shared" si="28"/>
        <v>0</v>
      </c>
      <c r="H146" s="646">
        <f t="shared" si="30"/>
        <v>0</v>
      </c>
      <c r="I146" s="630">
        <f t="shared" si="29"/>
        <v>0</v>
      </c>
      <c r="J146" s="505">
        <f t="shared" si="25"/>
        <v>0</v>
      </c>
      <c r="K146" s="505"/>
      <c r="L146" s="513"/>
      <c r="M146" s="505">
        <f t="shared" si="31"/>
        <v>0</v>
      </c>
      <c r="N146" s="513"/>
      <c r="O146" s="505">
        <f t="shared" si="32"/>
        <v>0</v>
      </c>
      <c r="P146" s="505">
        <f t="shared" si="33"/>
        <v>0</v>
      </c>
      <c r="Q146" s="244"/>
      <c r="R146" s="244"/>
      <c r="S146" s="244"/>
      <c r="T146" s="244"/>
      <c r="U146" s="244"/>
    </row>
    <row r="147" spans="2:21">
      <c r="B147" s="145" t="str">
        <f t="shared" si="24"/>
        <v/>
      </c>
      <c r="C147" s="496">
        <f>IF(D94="","-",+C146+1)</f>
        <v>2061</v>
      </c>
      <c r="D147" s="350">
        <f>IF(F146+SUM(E$100:E146)=D$93,F146,D$93-SUM(E$100:E146))</f>
        <v>0</v>
      </c>
      <c r="E147" s="629">
        <f t="shared" si="26"/>
        <v>0</v>
      </c>
      <c r="F147" s="511">
        <f t="shared" si="27"/>
        <v>0</v>
      </c>
      <c r="G147" s="511">
        <f t="shared" si="28"/>
        <v>0</v>
      </c>
      <c r="H147" s="646">
        <f t="shared" si="30"/>
        <v>0</v>
      </c>
      <c r="I147" s="630">
        <f t="shared" si="29"/>
        <v>0</v>
      </c>
      <c r="J147" s="505">
        <f t="shared" si="25"/>
        <v>0</v>
      </c>
      <c r="K147" s="505"/>
      <c r="L147" s="513"/>
      <c r="M147" s="505">
        <f t="shared" si="31"/>
        <v>0</v>
      </c>
      <c r="N147" s="513"/>
      <c r="O147" s="505">
        <f t="shared" si="32"/>
        <v>0</v>
      </c>
      <c r="P147" s="505">
        <f t="shared" si="33"/>
        <v>0</v>
      </c>
      <c r="Q147" s="244"/>
      <c r="R147" s="244"/>
      <c r="S147" s="244"/>
      <c r="T147" s="244"/>
      <c r="U147" s="244"/>
    </row>
    <row r="148" spans="2:21">
      <c r="B148" s="145" t="str">
        <f t="shared" si="24"/>
        <v/>
      </c>
      <c r="C148" s="496">
        <f>IF(D94="","-",+C147+1)</f>
        <v>2062</v>
      </c>
      <c r="D148" s="350">
        <f>IF(F147+SUM(E$100:E147)=D$93,F147,D$93-SUM(E$100:E147))</f>
        <v>0</v>
      </c>
      <c r="E148" s="629">
        <f t="shared" si="26"/>
        <v>0</v>
      </c>
      <c r="F148" s="511">
        <f t="shared" si="27"/>
        <v>0</v>
      </c>
      <c r="G148" s="511">
        <f t="shared" si="28"/>
        <v>0</v>
      </c>
      <c r="H148" s="646">
        <f t="shared" si="30"/>
        <v>0</v>
      </c>
      <c r="I148" s="630">
        <f t="shared" si="29"/>
        <v>0</v>
      </c>
      <c r="J148" s="505">
        <f t="shared" si="25"/>
        <v>0</v>
      </c>
      <c r="K148" s="505"/>
      <c r="L148" s="513"/>
      <c r="M148" s="505">
        <f t="shared" si="31"/>
        <v>0</v>
      </c>
      <c r="N148" s="513"/>
      <c r="O148" s="505">
        <f t="shared" si="32"/>
        <v>0</v>
      </c>
      <c r="P148" s="505">
        <f t="shared" si="33"/>
        <v>0</v>
      </c>
      <c r="Q148" s="244"/>
      <c r="R148" s="244"/>
      <c r="S148" s="244"/>
      <c r="T148" s="244"/>
      <c r="U148" s="244"/>
    </row>
    <row r="149" spans="2:21">
      <c r="B149" s="145" t="str">
        <f t="shared" si="24"/>
        <v/>
      </c>
      <c r="C149" s="496">
        <f>IF(D94="","-",+C148+1)</f>
        <v>2063</v>
      </c>
      <c r="D149" s="350">
        <f>IF(F148+SUM(E$100:E148)=D$93,F148,D$93-SUM(E$100:E148))</f>
        <v>0</v>
      </c>
      <c r="E149" s="629">
        <f t="shared" si="26"/>
        <v>0</v>
      </c>
      <c r="F149" s="511">
        <f t="shared" si="27"/>
        <v>0</v>
      </c>
      <c r="G149" s="511">
        <f t="shared" si="28"/>
        <v>0</v>
      </c>
      <c r="H149" s="646">
        <f t="shared" si="30"/>
        <v>0</v>
      </c>
      <c r="I149" s="630">
        <f t="shared" si="29"/>
        <v>0</v>
      </c>
      <c r="J149" s="505">
        <f t="shared" si="25"/>
        <v>0</v>
      </c>
      <c r="K149" s="505"/>
      <c r="L149" s="513"/>
      <c r="M149" s="505">
        <f t="shared" si="31"/>
        <v>0</v>
      </c>
      <c r="N149" s="513"/>
      <c r="O149" s="505">
        <f t="shared" si="32"/>
        <v>0</v>
      </c>
      <c r="P149" s="505">
        <f t="shared" si="33"/>
        <v>0</v>
      </c>
      <c r="Q149" s="244"/>
      <c r="R149" s="244"/>
      <c r="S149" s="244"/>
      <c r="T149" s="244"/>
      <c r="U149" s="244"/>
    </row>
    <row r="150" spans="2:21">
      <c r="B150" s="145" t="str">
        <f t="shared" si="24"/>
        <v/>
      </c>
      <c r="C150" s="496">
        <f>IF(D94="","-",+C149+1)</f>
        <v>2064</v>
      </c>
      <c r="D150" s="350">
        <f>IF(F149+SUM(E$100:E149)=D$93,F149,D$93-SUM(E$100:E149))</f>
        <v>0</v>
      </c>
      <c r="E150" s="629">
        <f t="shared" si="26"/>
        <v>0</v>
      </c>
      <c r="F150" s="511">
        <f t="shared" si="27"/>
        <v>0</v>
      </c>
      <c r="G150" s="511">
        <f t="shared" si="28"/>
        <v>0</v>
      </c>
      <c r="H150" s="646">
        <f t="shared" si="30"/>
        <v>0</v>
      </c>
      <c r="I150" s="630">
        <f t="shared" si="29"/>
        <v>0</v>
      </c>
      <c r="J150" s="505">
        <f t="shared" si="25"/>
        <v>0</v>
      </c>
      <c r="K150" s="505"/>
      <c r="L150" s="513"/>
      <c r="M150" s="505">
        <f t="shared" si="31"/>
        <v>0</v>
      </c>
      <c r="N150" s="513"/>
      <c r="O150" s="505">
        <f t="shared" si="32"/>
        <v>0</v>
      </c>
      <c r="P150" s="505">
        <f t="shared" si="33"/>
        <v>0</v>
      </c>
      <c r="Q150" s="244"/>
      <c r="R150" s="244"/>
      <c r="S150" s="244"/>
      <c r="T150" s="244"/>
      <c r="U150" s="244"/>
    </row>
    <row r="151" spans="2:21">
      <c r="B151" s="145" t="str">
        <f t="shared" si="24"/>
        <v/>
      </c>
      <c r="C151" s="496">
        <f>IF(D94="","-",+C150+1)</f>
        <v>2065</v>
      </c>
      <c r="D151" s="350">
        <f>IF(F150+SUM(E$100:E150)=D$93,F150,D$93-SUM(E$100:E150))</f>
        <v>0</v>
      </c>
      <c r="E151" s="629">
        <f t="shared" si="26"/>
        <v>0</v>
      </c>
      <c r="F151" s="511">
        <f t="shared" si="27"/>
        <v>0</v>
      </c>
      <c r="G151" s="511">
        <f t="shared" si="28"/>
        <v>0</v>
      </c>
      <c r="H151" s="646">
        <f t="shared" si="30"/>
        <v>0</v>
      </c>
      <c r="I151" s="630">
        <f t="shared" si="29"/>
        <v>0</v>
      </c>
      <c r="J151" s="505">
        <f t="shared" si="25"/>
        <v>0</v>
      </c>
      <c r="K151" s="505"/>
      <c r="L151" s="513"/>
      <c r="M151" s="505">
        <f t="shared" si="31"/>
        <v>0</v>
      </c>
      <c r="N151" s="513"/>
      <c r="O151" s="505">
        <f t="shared" si="32"/>
        <v>0</v>
      </c>
      <c r="P151" s="505">
        <f t="shared" si="33"/>
        <v>0</v>
      </c>
      <c r="Q151" s="244"/>
      <c r="R151" s="244"/>
      <c r="S151" s="244"/>
      <c r="T151" s="244"/>
      <c r="U151" s="244"/>
    </row>
    <row r="152" spans="2:21">
      <c r="B152" s="145" t="str">
        <f t="shared" si="24"/>
        <v/>
      </c>
      <c r="C152" s="496">
        <f>IF(D94="","-",+C151+1)</f>
        <v>2066</v>
      </c>
      <c r="D152" s="350">
        <f>IF(F151+SUM(E$100:E151)=D$93,F151,D$93-SUM(E$100:E151))</f>
        <v>0</v>
      </c>
      <c r="E152" s="629">
        <f t="shared" si="26"/>
        <v>0</v>
      </c>
      <c r="F152" s="511">
        <f t="shared" si="27"/>
        <v>0</v>
      </c>
      <c r="G152" s="511">
        <f t="shared" si="28"/>
        <v>0</v>
      </c>
      <c r="H152" s="646">
        <f t="shared" si="30"/>
        <v>0</v>
      </c>
      <c r="I152" s="630">
        <f t="shared" si="29"/>
        <v>0</v>
      </c>
      <c r="J152" s="505">
        <f t="shared" si="25"/>
        <v>0</v>
      </c>
      <c r="K152" s="505"/>
      <c r="L152" s="513"/>
      <c r="M152" s="505">
        <f t="shared" si="31"/>
        <v>0</v>
      </c>
      <c r="N152" s="513"/>
      <c r="O152" s="505">
        <f t="shared" si="32"/>
        <v>0</v>
      </c>
      <c r="P152" s="505">
        <f t="shared" si="33"/>
        <v>0</v>
      </c>
      <c r="Q152" s="244"/>
      <c r="R152" s="244"/>
      <c r="S152" s="244"/>
      <c r="T152" s="244"/>
      <c r="U152" s="244"/>
    </row>
    <row r="153" spans="2:21">
      <c r="B153" s="145" t="str">
        <f t="shared" si="24"/>
        <v/>
      </c>
      <c r="C153" s="496">
        <f>IF(D94="","-",+C152+1)</f>
        <v>2067</v>
      </c>
      <c r="D153" s="350">
        <f>IF(F152+SUM(E$100:E152)=D$93,F152,D$93-SUM(E$100:E152))</f>
        <v>0</v>
      </c>
      <c r="E153" s="629">
        <f t="shared" si="26"/>
        <v>0</v>
      </c>
      <c r="F153" s="511">
        <f t="shared" si="27"/>
        <v>0</v>
      </c>
      <c r="G153" s="511">
        <f t="shared" si="28"/>
        <v>0</v>
      </c>
      <c r="H153" s="646">
        <f t="shared" si="30"/>
        <v>0</v>
      </c>
      <c r="I153" s="630">
        <f t="shared" si="29"/>
        <v>0</v>
      </c>
      <c r="J153" s="505">
        <f t="shared" si="25"/>
        <v>0</v>
      </c>
      <c r="K153" s="505"/>
      <c r="L153" s="513"/>
      <c r="M153" s="505">
        <f t="shared" si="31"/>
        <v>0</v>
      </c>
      <c r="N153" s="513"/>
      <c r="O153" s="505">
        <f t="shared" si="32"/>
        <v>0</v>
      </c>
      <c r="P153" s="505">
        <f t="shared" si="33"/>
        <v>0</v>
      </c>
      <c r="Q153" s="244"/>
      <c r="R153" s="244"/>
      <c r="S153" s="244"/>
      <c r="T153" s="244"/>
      <c r="U153" s="244"/>
    </row>
    <row r="154" spans="2:21">
      <c r="B154" s="145" t="str">
        <f t="shared" si="24"/>
        <v/>
      </c>
      <c r="C154" s="496">
        <f>IF(D94="","-",+C153+1)</f>
        <v>2068</v>
      </c>
      <c r="D154" s="350">
        <f>IF(F153+SUM(E$100:E153)=D$93,F153,D$93-SUM(E$100:E153))</f>
        <v>0</v>
      </c>
      <c r="E154" s="629">
        <f t="shared" si="26"/>
        <v>0</v>
      </c>
      <c r="F154" s="511">
        <f t="shared" si="27"/>
        <v>0</v>
      </c>
      <c r="G154" s="511">
        <f t="shared" si="28"/>
        <v>0</v>
      </c>
      <c r="H154" s="646">
        <f t="shared" si="30"/>
        <v>0</v>
      </c>
      <c r="I154" s="630">
        <f t="shared" si="29"/>
        <v>0</v>
      </c>
      <c r="J154" s="505">
        <f t="shared" si="25"/>
        <v>0</v>
      </c>
      <c r="K154" s="505"/>
      <c r="L154" s="513"/>
      <c r="M154" s="505">
        <f t="shared" si="31"/>
        <v>0</v>
      </c>
      <c r="N154" s="513"/>
      <c r="O154" s="505">
        <f t="shared" si="32"/>
        <v>0</v>
      </c>
      <c r="P154" s="505">
        <f t="shared" si="33"/>
        <v>0</v>
      </c>
      <c r="Q154" s="244"/>
      <c r="R154" s="244"/>
      <c r="S154" s="244"/>
      <c r="T154" s="244"/>
      <c r="U154" s="244"/>
    </row>
    <row r="155" spans="2:21" ht="13.5" thickBot="1">
      <c r="B155" s="145" t="str">
        <f t="shared" si="24"/>
        <v/>
      </c>
      <c r="C155" s="525">
        <f>IF(D94="","-",+C154+1)</f>
        <v>2069</v>
      </c>
      <c r="D155" s="619">
        <f>IF(F154+SUM(E$100:E154)=D$93,F154,D$93-SUM(E$100:E154))</f>
        <v>0</v>
      </c>
      <c r="E155" s="631">
        <f t="shared" si="26"/>
        <v>0</v>
      </c>
      <c r="F155" s="528">
        <f t="shared" si="27"/>
        <v>0</v>
      </c>
      <c r="G155" s="528">
        <f t="shared" si="28"/>
        <v>0</v>
      </c>
      <c r="H155" s="646">
        <f t="shared" si="30"/>
        <v>0</v>
      </c>
      <c r="I155" s="632">
        <f t="shared" si="29"/>
        <v>0</v>
      </c>
      <c r="J155" s="532">
        <f t="shared" si="25"/>
        <v>0</v>
      </c>
      <c r="K155" s="505"/>
      <c r="L155" s="531"/>
      <c r="M155" s="532">
        <f t="shared" si="31"/>
        <v>0</v>
      </c>
      <c r="N155" s="531"/>
      <c r="O155" s="532">
        <f t="shared" si="32"/>
        <v>0</v>
      </c>
      <c r="P155" s="532">
        <f t="shared" si="33"/>
        <v>0</v>
      </c>
      <c r="Q155" s="244"/>
      <c r="R155" s="244"/>
      <c r="S155" s="244"/>
      <c r="T155" s="244"/>
      <c r="U155" s="244"/>
    </row>
    <row r="156" spans="2:21">
      <c r="C156" s="350" t="s">
        <v>75</v>
      </c>
      <c r="D156" s="295"/>
      <c r="E156" s="295">
        <f>SUM(E100:E155)</f>
        <v>13254470.000000004</v>
      </c>
      <c r="F156" s="295"/>
      <c r="G156" s="295"/>
      <c r="H156" s="295">
        <f>SUM(H100:H155)</f>
        <v>35184573.019265018</v>
      </c>
      <c r="I156" s="295">
        <f>SUM(I100:I155)</f>
        <v>35184573.019265018</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8" priority="1" stopIfTrue="1" operator="equal">
      <formula>$I$10</formula>
    </cfRule>
  </conditionalFormatting>
  <conditionalFormatting sqref="C100:C155">
    <cfRule type="cellIs" dxfId="27"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theme="9" tint="0.39997558519241921"/>
  </sheetPr>
  <dimension ref="A1:U163"/>
  <sheetViews>
    <sheetView zoomScaleNormal="100" zoomScaleSheetLayoutView="78"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13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0</v>
      </c>
      <c r="P5" s="244"/>
      <c r="R5" s="244"/>
      <c r="S5" s="244"/>
      <c r="T5" s="244"/>
      <c r="U5" s="244"/>
    </row>
    <row r="6" spans="1:21" ht="15.75">
      <c r="C6" s="634" t="s">
        <v>267</v>
      </c>
      <c r="D6" s="293"/>
      <c r="E6" s="244"/>
      <c r="F6" s="244"/>
      <c r="G6" s="244"/>
      <c r="H6" s="450"/>
      <c r="I6" s="450"/>
      <c r="J6" s="451"/>
      <c r="K6" s="452" t="s">
        <v>243</v>
      </c>
      <c r="L6" s="453"/>
      <c r="M6" s="279"/>
      <c r="N6" s="454">
        <f>VLOOKUP(I10,C17:I73,6)</f>
        <v>0</v>
      </c>
      <c r="O6" s="244"/>
      <c r="P6" s="244"/>
      <c r="R6" s="244"/>
      <c r="S6" s="244"/>
      <c r="T6" s="244"/>
      <c r="U6" s="244"/>
    </row>
    <row r="7" spans="1:21" ht="13.5" thickBot="1">
      <c r="C7" s="455" t="s">
        <v>46</v>
      </c>
      <c r="D7" s="456" t="s">
        <v>231</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232</v>
      </c>
      <c r="E9" s="466"/>
      <c r="F9" s="466"/>
      <c r="G9" s="466"/>
      <c r="H9" s="466"/>
      <c r="I9" s="467"/>
      <c r="J9" s="468"/>
      <c r="O9" s="469"/>
      <c r="P9" s="279"/>
      <c r="R9" s="244"/>
      <c r="S9" s="244"/>
      <c r="T9" s="244"/>
      <c r="U9" s="244"/>
    </row>
    <row r="10" spans="1:21">
      <c r="C10" s="470" t="s">
        <v>49</v>
      </c>
      <c r="D10" s="471">
        <v>0</v>
      </c>
      <c r="E10" s="300" t="s">
        <v>50</v>
      </c>
      <c r="F10" s="469"/>
      <c r="G10" s="409"/>
      <c r="H10" s="409"/>
      <c r="I10" s="472">
        <f>+'OKT.WS.F.BPU.ATRR.Projected'!R100</f>
        <v>2020</v>
      </c>
      <c r="J10" s="468"/>
      <c r="K10" s="295" t="s">
        <v>51</v>
      </c>
      <c r="O10" s="279"/>
      <c r="P10" s="279"/>
      <c r="R10" s="244"/>
      <c r="S10" s="244"/>
      <c r="T10" s="244"/>
      <c r="U10" s="244"/>
    </row>
    <row r="11" spans="1:21">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10</v>
      </c>
      <c r="E12" s="473" t="s">
        <v>55</v>
      </c>
      <c r="F12" s="409"/>
      <c r="G12" s="221"/>
      <c r="H12" s="221"/>
      <c r="I12" s="477">
        <f>'OKT.WS.F.BPU.ATRR.Projected'!$F$78</f>
        <v>0.1064171487591708</v>
      </c>
      <c r="J12" s="414"/>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0</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496">
        <f>IF(D11= "","-",D11)</f>
        <v>2013</v>
      </c>
      <c r="D17" s="613">
        <v>4086696.07</v>
      </c>
      <c r="E17" s="621">
        <v>11782.768994177641</v>
      </c>
      <c r="F17" s="613">
        <v>4074913.3010058221</v>
      </c>
      <c r="G17" s="621">
        <v>123870.72395190655</v>
      </c>
      <c r="H17" s="618">
        <v>123870.72395190655</v>
      </c>
      <c r="I17" s="633">
        <v>0</v>
      </c>
      <c r="J17" s="501"/>
      <c r="K17" s="502">
        <f t="shared" ref="K17:K21" si="1">G17</f>
        <v>123870.72395190655</v>
      </c>
      <c r="L17" s="503">
        <f t="shared" ref="L17:L73" si="2">IF(K17&lt;&gt;0,+G17-K17,0)</f>
        <v>0</v>
      </c>
      <c r="M17" s="502">
        <f t="shared" ref="M17:M21" si="3">H17</f>
        <v>123870.72395190655</v>
      </c>
      <c r="N17" s="504">
        <f t="shared" ref="N17:N73" si="4">IF(M17&lt;&gt;0,+H17-M17,0)</f>
        <v>0</v>
      </c>
      <c r="O17" s="505">
        <f t="shared" ref="O17:O73" si="5">+N17-L17</f>
        <v>0</v>
      </c>
      <c r="P17" s="279"/>
      <c r="R17" s="244"/>
      <c r="S17" s="244"/>
      <c r="T17" s="244"/>
      <c r="U17" s="244"/>
    </row>
    <row r="18" spans="2:21">
      <c r="B18" s="145" t="str">
        <f t="shared" si="0"/>
        <v/>
      </c>
      <c r="C18" s="496">
        <f>IF(D11="","-",+C17+1)</f>
        <v>2014</v>
      </c>
      <c r="D18" s="615">
        <v>4074913.3010058221</v>
      </c>
      <c r="E18" s="614">
        <v>70696.613965065844</v>
      </c>
      <c r="F18" s="615">
        <v>4004216.6870407565</v>
      </c>
      <c r="G18" s="614">
        <v>511269.87430631154</v>
      </c>
      <c r="H18" s="618">
        <v>511269.87430631154</v>
      </c>
      <c r="I18" s="633">
        <v>0</v>
      </c>
      <c r="J18" s="501"/>
      <c r="K18" s="593">
        <f t="shared" si="1"/>
        <v>511269.87430631154</v>
      </c>
      <c r="L18" s="597">
        <f t="shared" si="2"/>
        <v>0</v>
      </c>
      <c r="M18" s="593">
        <f t="shared" si="3"/>
        <v>511269.87430631154</v>
      </c>
      <c r="N18" s="595">
        <f t="shared" si="4"/>
        <v>0</v>
      </c>
      <c r="O18" s="597">
        <f t="shared" si="5"/>
        <v>0</v>
      </c>
      <c r="P18" s="279"/>
      <c r="R18" s="244"/>
      <c r="S18" s="244"/>
      <c r="T18" s="244"/>
      <c r="U18" s="244"/>
    </row>
    <row r="19" spans="2:21">
      <c r="B19" s="145" t="str">
        <f t="shared" si="0"/>
        <v/>
      </c>
      <c r="C19" s="496">
        <f>IF(D11="","-",+C18+1)</f>
        <v>2015</v>
      </c>
      <c r="D19" s="615">
        <v>4004216.6870407565</v>
      </c>
      <c r="E19" s="614">
        <v>70696.613965065844</v>
      </c>
      <c r="F19" s="615">
        <v>3933520.0730756908</v>
      </c>
      <c r="G19" s="614">
        <v>476106.58378878143</v>
      </c>
      <c r="H19" s="618">
        <v>476106.58378878143</v>
      </c>
      <c r="I19" s="585">
        <v>0</v>
      </c>
      <c r="J19" s="501"/>
      <c r="K19" s="593">
        <f t="shared" si="1"/>
        <v>476106.58378878143</v>
      </c>
      <c r="L19" s="597">
        <f>IF(K19&lt;&gt;0,+G19-K19,0)</f>
        <v>0</v>
      </c>
      <c r="M19" s="593">
        <f t="shared" si="3"/>
        <v>476106.58378878143</v>
      </c>
      <c r="N19" s="595">
        <f>IF(M19&lt;&gt;0,+H19-M19,0)</f>
        <v>0</v>
      </c>
      <c r="O19" s="597">
        <f>+N19-L19</f>
        <v>0</v>
      </c>
      <c r="P19" s="279"/>
      <c r="R19" s="244"/>
      <c r="S19" s="244"/>
      <c r="T19" s="244"/>
      <c r="U19" s="244"/>
    </row>
    <row r="20" spans="2:21">
      <c r="B20" s="145" t="str">
        <f t="shared" si="0"/>
        <v/>
      </c>
      <c r="C20" s="496">
        <f>IF(D11="","-",+C19+1)</f>
        <v>2016</v>
      </c>
      <c r="D20" s="615">
        <v>3933520.0730756908</v>
      </c>
      <c r="E20" s="614">
        <v>84919.313620452886</v>
      </c>
      <c r="F20" s="615">
        <v>3848600.759455238</v>
      </c>
      <c r="G20" s="614">
        <v>500107.78781700449</v>
      </c>
      <c r="H20" s="618">
        <v>500107.78781700449</v>
      </c>
      <c r="I20" s="501">
        <f>H20-G20</f>
        <v>0</v>
      </c>
      <c r="J20" s="501"/>
      <c r="K20" s="593">
        <f t="shared" si="1"/>
        <v>500107.78781700449</v>
      </c>
      <c r="L20" s="597">
        <f>IF(K20&lt;&gt;0,+G20-K20,0)</f>
        <v>0</v>
      </c>
      <c r="M20" s="593">
        <f t="shared" si="3"/>
        <v>500107.78781700449</v>
      </c>
      <c r="N20" s="505">
        <f t="shared" si="4"/>
        <v>0</v>
      </c>
      <c r="O20" s="505">
        <f t="shared" si="5"/>
        <v>0</v>
      </c>
      <c r="P20" s="279"/>
      <c r="R20" s="244"/>
      <c r="S20" s="244"/>
      <c r="T20" s="244"/>
      <c r="U20" s="244"/>
    </row>
    <row r="21" spans="2:21">
      <c r="B21" s="145" t="str">
        <f t="shared" si="0"/>
        <v>IU</v>
      </c>
      <c r="C21" s="496">
        <f>IF(D11="","-",+C20+1)</f>
        <v>2017</v>
      </c>
      <c r="D21" s="615">
        <v>4561942.6894552382</v>
      </c>
      <c r="E21" s="614">
        <v>94378.250117010364</v>
      </c>
      <c r="F21" s="615">
        <v>4467564.4393382277</v>
      </c>
      <c r="G21" s="614">
        <v>590730.13217900996</v>
      </c>
      <c r="H21" s="618">
        <v>590730.13217900996</v>
      </c>
      <c r="I21" s="501">
        <f t="shared" ref="I21:I73" si="6">H21-G21</f>
        <v>0</v>
      </c>
      <c r="J21" s="501"/>
      <c r="K21" s="593">
        <f t="shared" si="1"/>
        <v>590730.13217900996</v>
      </c>
      <c r="L21" s="597">
        <f>IF(K21&lt;&gt;0,+G21-K21,0)</f>
        <v>0</v>
      </c>
      <c r="M21" s="593">
        <f t="shared" si="3"/>
        <v>590730.13217900996</v>
      </c>
      <c r="N21" s="505">
        <f>IF(M21&lt;&gt;0,+H21-M21,0)</f>
        <v>0</v>
      </c>
      <c r="O21" s="505">
        <f>+N21-L21</f>
        <v>0</v>
      </c>
      <c r="P21" s="279"/>
      <c r="R21" s="244"/>
      <c r="S21" s="244"/>
      <c r="T21" s="244"/>
      <c r="U21" s="244"/>
    </row>
    <row r="22" spans="2:21">
      <c r="B22" s="145" t="str">
        <f t="shared" si="0"/>
        <v>IU</v>
      </c>
      <c r="C22" s="496">
        <f>IF(D11="","-",+C21+1)</f>
        <v>2018</v>
      </c>
      <c r="D22" s="615"/>
      <c r="E22" s="614"/>
      <c r="F22" s="615"/>
      <c r="G22" s="614"/>
      <c r="H22" s="618"/>
      <c r="I22" s="501">
        <v>0</v>
      </c>
      <c r="J22" s="501"/>
      <c r="K22" s="593">
        <f t="shared" ref="K22" si="7">G22</f>
        <v>0</v>
      </c>
      <c r="L22" s="597">
        <f>IF(K22&lt;&gt;0,+G22-K22,0)</f>
        <v>0</v>
      </c>
      <c r="M22" s="593">
        <f t="shared" ref="M22" si="8">H22</f>
        <v>0</v>
      </c>
      <c r="N22" s="505">
        <f>IF(M22&lt;&gt;0,+H22-M22,0)</f>
        <v>0</v>
      </c>
      <c r="O22" s="505">
        <f>+N22-L22</f>
        <v>0</v>
      </c>
      <c r="P22" s="279"/>
      <c r="R22" s="244"/>
      <c r="S22" s="244"/>
      <c r="T22" s="244"/>
      <c r="U22" s="244"/>
    </row>
    <row r="23" spans="2:21">
      <c r="B23" s="145" t="str">
        <f t="shared" si="0"/>
        <v/>
      </c>
      <c r="C23" s="496">
        <f>IF(D11="","-",+C22+1)</f>
        <v>2019</v>
      </c>
      <c r="D23" s="509">
        <v>0</v>
      </c>
      <c r="E23" s="510">
        <f t="shared" ref="E23" si="9">IF(+$I$14&lt;F22,$I$14,D23)</f>
        <v>0</v>
      </c>
      <c r="F23" s="511">
        <f t="shared" ref="F23" si="10">+D23-E23</f>
        <v>0</v>
      </c>
      <c r="G23" s="512">
        <f t="shared" ref="G23" si="11">(D23+F23)/2*I$12+E23</f>
        <v>0</v>
      </c>
      <c r="H23" s="478">
        <f t="shared" ref="H23" si="12">+(D23+F23)/2*I$13+E23</f>
        <v>0</v>
      </c>
      <c r="I23" s="501">
        <f t="shared" si="6"/>
        <v>0</v>
      </c>
      <c r="J23" s="501"/>
      <c r="K23" s="513"/>
      <c r="L23" s="505">
        <f t="shared" si="2"/>
        <v>0</v>
      </c>
      <c r="M23" s="513"/>
      <c r="N23" s="505">
        <f t="shared" si="4"/>
        <v>0</v>
      </c>
      <c r="O23" s="505">
        <f t="shared" si="5"/>
        <v>0</v>
      </c>
      <c r="P23" s="279"/>
      <c r="R23" s="244"/>
      <c r="S23" s="244"/>
      <c r="T23" s="244"/>
      <c r="U23" s="244"/>
    </row>
    <row r="24" spans="2:21">
      <c r="B24" s="145" t="str">
        <f t="shared" si="0"/>
        <v/>
      </c>
      <c r="C24" s="496">
        <f>IF(D11="","-",+C23+1)</f>
        <v>2020</v>
      </c>
      <c r="D24" s="509">
        <v>0</v>
      </c>
      <c r="E24" s="510">
        <f t="shared" ref="E24:E73" si="13">IF(+$I$14&lt;F23,$I$14,D24)</f>
        <v>0</v>
      </c>
      <c r="F24" s="511">
        <f t="shared" ref="F24:F73" si="14">+D24-E24</f>
        <v>0</v>
      </c>
      <c r="G24" s="512">
        <f t="shared" ref="G24:G73" si="15">(D24+F24)/2*I$12+E24</f>
        <v>0</v>
      </c>
      <c r="H24" s="478">
        <f t="shared" ref="H24:H73" si="16">+(D24+F24)/2*I$13+E24</f>
        <v>0</v>
      </c>
      <c r="I24" s="501">
        <f t="shared" si="6"/>
        <v>0</v>
      </c>
      <c r="J24" s="501"/>
      <c r="K24" s="513"/>
      <c r="L24" s="505">
        <f t="shared" si="2"/>
        <v>0</v>
      </c>
      <c r="M24" s="513"/>
      <c r="N24" s="505">
        <f t="shared" si="4"/>
        <v>0</v>
      </c>
      <c r="O24" s="505">
        <f t="shared" si="5"/>
        <v>0</v>
      </c>
      <c r="P24" s="279"/>
      <c r="R24" s="244"/>
      <c r="S24" s="244"/>
      <c r="T24" s="244"/>
      <c r="U24" s="244"/>
    </row>
    <row r="25" spans="2:21">
      <c r="B25" s="145" t="str">
        <f t="shared" si="0"/>
        <v/>
      </c>
      <c r="C25" s="496">
        <f>IF(D11="","-",+C24+1)</f>
        <v>2021</v>
      </c>
      <c r="D25" s="509">
        <v>0</v>
      </c>
      <c r="E25" s="510">
        <f t="shared" si="13"/>
        <v>0</v>
      </c>
      <c r="F25" s="511">
        <f t="shared" si="14"/>
        <v>0</v>
      </c>
      <c r="G25" s="512">
        <f t="shared" si="15"/>
        <v>0</v>
      </c>
      <c r="H25" s="478">
        <f t="shared" si="16"/>
        <v>0</v>
      </c>
      <c r="I25" s="501">
        <f t="shared" si="6"/>
        <v>0</v>
      </c>
      <c r="J25" s="501"/>
      <c r="K25" s="513"/>
      <c r="L25" s="505">
        <f t="shared" si="2"/>
        <v>0</v>
      </c>
      <c r="M25" s="513"/>
      <c r="N25" s="505">
        <f t="shared" si="4"/>
        <v>0</v>
      </c>
      <c r="O25" s="505">
        <f t="shared" si="5"/>
        <v>0</v>
      </c>
      <c r="P25" s="279"/>
      <c r="R25" s="244"/>
      <c r="S25" s="244"/>
      <c r="T25" s="244"/>
      <c r="U25" s="244"/>
    </row>
    <row r="26" spans="2:21">
      <c r="B26" s="145" t="str">
        <f t="shared" si="0"/>
        <v/>
      </c>
      <c r="C26" s="496">
        <f>IF(D11="","-",+C25+1)</f>
        <v>2022</v>
      </c>
      <c r="D26" s="509">
        <v>0</v>
      </c>
      <c r="E26" s="510">
        <f t="shared" si="13"/>
        <v>0</v>
      </c>
      <c r="F26" s="511">
        <f t="shared" si="14"/>
        <v>0</v>
      </c>
      <c r="G26" s="512">
        <f t="shared" si="15"/>
        <v>0</v>
      </c>
      <c r="H26" s="478">
        <f t="shared" si="16"/>
        <v>0</v>
      </c>
      <c r="I26" s="501">
        <f t="shared" si="6"/>
        <v>0</v>
      </c>
      <c r="J26" s="501"/>
      <c r="K26" s="513"/>
      <c r="L26" s="505">
        <f t="shared" si="2"/>
        <v>0</v>
      </c>
      <c r="M26" s="513"/>
      <c r="N26" s="505">
        <f t="shared" si="4"/>
        <v>0</v>
      </c>
      <c r="O26" s="505">
        <f t="shared" si="5"/>
        <v>0</v>
      </c>
      <c r="P26" s="279"/>
      <c r="R26" s="244"/>
      <c r="S26" s="244"/>
      <c r="T26" s="244"/>
      <c r="U26" s="244"/>
    </row>
    <row r="27" spans="2:21">
      <c r="B27" s="145" t="str">
        <f t="shared" si="0"/>
        <v/>
      </c>
      <c r="C27" s="496">
        <f>IF(D11="","-",+C26+1)</f>
        <v>2023</v>
      </c>
      <c r="D27" s="509">
        <v>0</v>
      </c>
      <c r="E27" s="510">
        <f t="shared" si="13"/>
        <v>0</v>
      </c>
      <c r="F27" s="511">
        <f t="shared" si="14"/>
        <v>0</v>
      </c>
      <c r="G27" s="512">
        <f t="shared" si="15"/>
        <v>0</v>
      </c>
      <c r="H27" s="478">
        <f t="shared" si="16"/>
        <v>0</v>
      </c>
      <c r="I27" s="501">
        <f t="shared" si="6"/>
        <v>0</v>
      </c>
      <c r="J27" s="501"/>
      <c r="K27" s="513"/>
      <c r="L27" s="505">
        <f t="shared" si="2"/>
        <v>0</v>
      </c>
      <c r="M27" s="513"/>
      <c r="N27" s="505">
        <f t="shared" si="4"/>
        <v>0</v>
      </c>
      <c r="O27" s="505">
        <f t="shared" si="5"/>
        <v>0</v>
      </c>
      <c r="P27" s="279"/>
      <c r="R27" s="244"/>
      <c r="S27" s="244"/>
      <c r="T27" s="244"/>
      <c r="U27" s="244"/>
    </row>
    <row r="28" spans="2:21">
      <c r="B28" s="145" t="str">
        <f t="shared" si="0"/>
        <v/>
      </c>
      <c r="C28" s="496">
        <f>IF(D11="","-",+C27+1)</f>
        <v>2024</v>
      </c>
      <c r="D28" s="509">
        <v>0</v>
      </c>
      <c r="E28" s="510">
        <f t="shared" si="13"/>
        <v>0</v>
      </c>
      <c r="F28" s="511">
        <f t="shared" si="14"/>
        <v>0</v>
      </c>
      <c r="G28" s="512">
        <f t="shared" si="15"/>
        <v>0</v>
      </c>
      <c r="H28" s="478">
        <f t="shared" si="16"/>
        <v>0</v>
      </c>
      <c r="I28" s="501">
        <f t="shared" si="6"/>
        <v>0</v>
      </c>
      <c r="J28" s="501"/>
      <c r="K28" s="513"/>
      <c r="L28" s="505">
        <f t="shared" si="2"/>
        <v>0</v>
      </c>
      <c r="M28" s="513"/>
      <c r="N28" s="505">
        <f t="shared" si="4"/>
        <v>0</v>
      </c>
      <c r="O28" s="505">
        <f t="shared" si="5"/>
        <v>0</v>
      </c>
      <c r="P28" s="279"/>
      <c r="R28" s="244"/>
      <c r="S28" s="244"/>
      <c r="T28" s="244"/>
      <c r="U28" s="244"/>
    </row>
    <row r="29" spans="2:21">
      <c r="B29" s="145" t="str">
        <f t="shared" si="0"/>
        <v/>
      </c>
      <c r="C29" s="496">
        <f>IF(D11="","-",+C28+1)</f>
        <v>2025</v>
      </c>
      <c r="D29" s="509">
        <v>0</v>
      </c>
      <c r="E29" s="510">
        <f t="shared" si="13"/>
        <v>0</v>
      </c>
      <c r="F29" s="511">
        <f t="shared" si="14"/>
        <v>0</v>
      </c>
      <c r="G29" s="512">
        <f t="shared" si="15"/>
        <v>0</v>
      </c>
      <c r="H29" s="478">
        <f t="shared" si="16"/>
        <v>0</v>
      </c>
      <c r="I29" s="501">
        <f t="shared" si="6"/>
        <v>0</v>
      </c>
      <c r="J29" s="501"/>
      <c r="K29" s="513"/>
      <c r="L29" s="505">
        <f t="shared" si="2"/>
        <v>0</v>
      </c>
      <c r="M29" s="513"/>
      <c r="N29" s="505">
        <f t="shared" si="4"/>
        <v>0</v>
      </c>
      <c r="O29" s="505">
        <f t="shared" si="5"/>
        <v>0</v>
      </c>
      <c r="P29" s="279"/>
      <c r="R29" s="244"/>
      <c r="S29" s="244"/>
      <c r="T29" s="244"/>
      <c r="U29" s="244"/>
    </row>
    <row r="30" spans="2:21">
      <c r="B30" s="145" t="str">
        <f t="shared" si="0"/>
        <v/>
      </c>
      <c r="C30" s="496">
        <f>IF(D11="","-",+C29+1)</f>
        <v>2026</v>
      </c>
      <c r="D30" s="509">
        <v>0</v>
      </c>
      <c r="E30" s="510">
        <f t="shared" si="13"/>
        <v>0</v>
      </c>
      <c r="F30" s="511">
        <f t="shared" si="14"/>
        <v>0</v>
      </c>
      <c r="G30" s="512">
        <f t="shared" si="15"/>
        <v>0</v>
      </c>
      <c r="H30" s="478">
        <f t="shared" si="16"/>
        <v>0</v>
      </c>
      <c r="I30" s="501">
        <f t="shared" si="6"/>
        <v>0</v>
      </c>
      <c r="J30" s="501"/>
      <c r="K30" s="513"/>
      <c r="L30" s="505">
        <f t="shared" si="2"/>
        <v>0</v>
      </c>
      <c r="M30" s="513"/>
      <c r="N30" s="505">
        <f t="shared" si="4"/>
        <v>0</v>
      </c>
      <c r="O30" s="505">
        <f t="shared" si="5"/>
        <v>0</v>
      </c>
      <c r="P30" s="279"/>
      <c r="R30" s="244"/>
      <c r="S30" s="244"/>
      <c r="T30" s="244"/>
      <c r="U30" s="244"/>
    </row>
    <row r="31" spans="2:21">
      <c r="B31" s="145" t="str">
        <f t="shared" si="0"/>
        <v/>
      </c>
      <c r="C31" s="496">
        <f>IF(D11="","-",+C30+1)</f>
        <v>2027</v>
      </c>
      <c r="D31" s="509">
        <v>0</v>
      </c>
      <c r="E31" s="510">
        <f t="shared" si="13"/>
        <v>0</v>
      </c>
      <c r="F31" s="511">
        <f t="shared" si="14"/>
        <v>0</v>
      </c>
      <c r="G31" s="512">
        <f t="shared" si="15"/>
        <v>0</v>
      </c>
      <c r="H31" s="478">
        <f t="shared" si="16"/>
        <v>0</v>
      </c>
      <c r="I31" s="501">
        <f t="shared" si="6"/>
        <v>0</v>
      </c>
      <c r="J31" s="501"/>
      <c r="K31" s="513"/>
      <c r="L31" s="505">
        <f t="shared" si="2"/>
        <v>0</v>
      </c>
      <c r="M31" s="513"/>
      <c r="N31" s="505">
        <f t="shared" si="4"/>
        <v>0</v>
      </c>
      <c r="O31" s="505">
        <f t="shared" si="5"/>
        <v>0</v>
      </c>
      <c r="P31" s="279"/>
      <c r="Q31" s="221"/>
      <c r="R31" s="279"/>
      <c r="S31" s="279"/>
      <c r="T31" s="279"/>
      <c r="U31" s="244"/>
    </row>
    <row r="32" spans="2:21">
      <c r="B32" s="145" t="str">
        <f t="shared" si="0"/>
        <v/>
      </c>
      <c r="C32" s="496">
        <f>IF(D12="","-",+C31+1)</f>
        <v>2028</v>
      </c>
      <c r="D32" s="509">
        <v>0</v>
      </c>
      <c r="E32" s="510">
        <f t="shared" si="13"/>
        <v>0</v>
      </c>
      <c r="F32" s="511">
        <f t="shared" si="14"/>
        <v>0</v>
      </c>
      <c r="G32" s="512">
        <f t="shared" si="15"/>
        <v>0</v>
      </c>
      <c r="H32" s="478">
        <f t="shared" si="16"/>
        <v>0</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2029</v>
      </c>
      <c r="D33" s="509">
        <v>0</v>
      </c>
      <c r="E33" s="510">
        <f t="shared" si="13"/>
        <v>0</v>
      </c>
      <c r="F33" s="511">
        <f t="shared" si="14"/>
        <v>0</v>
      </c>
      <c r="G33" s="512">
        <f t="shared" si="15"/>
        <v>0</v>
      </c>
      <c r="H33" s="478">
        <f t="shared" si="16"/>
        <v>0</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2030</v>
      </c>
      <c r="D34" s="509">
        <v>0</v>
      </c>
      <c r="E34" s="510">
        <f t="shared" si="13"/>
        <v>0</v>
      </c>
      <c r="F34" s="511">
        <f t="shared" si="14"/>
        <v>0</v>
      </c>
      <c r="G34" s="512">
        <f t="shared" si="15"/>
        <v>0</v>
      </c>
      <c r="H34" s="478">
        <f t="shared" si="16"/>
        <v>0</v>
      </c>
      <c r="I34" s="520">
        <f t="shared" si="6"/>
        <v>0</v>
      </c>
      <c r="J34" s="520"/>
      <c r="K34" s="521"/>
      <c r="L34" s="522">
        <f t="shared" si="2"/>
        <v>0</v>
      </c>
      <c r="M34" s="521"/>
      <c r="N34" s="522">
        <f t="shared" si="4"/>
        <v>0</v>
      </c>
      <c r="O34" s="522">
        <f t="shared" si="5"/>
        <v>0</v>
      </c>
      <c r="P34" s="523"/>
      <c r="Q34" s="217"/>
      <c r="R34" s="523"/>
      <c r="S34" s="523"/>
      <c r="T34" s="523"/>
      <c r="U34" s="244"/>
    </row>
    <row r="35" spans="2:21">
      <c r="B35" s="145" t="str">
        <f t="shared" si="0"/>
        <v/>
      </c>
      <c r="C35" s="496">
        <f>IF(D11="","-",+C34+1)</f>
        <v>2031</v>
      </c>
      <c r="D35" s="509">
        <v>0</v>
      </c>
      <c r="E35" s="510">
        <f t="shared" si="13"/>
        <v>0</v>
      </c>
      <c r="F35" s="511">
        <f t="shared" si="14"/>
        <v>0</v>
      </c>
      <c r="G35" s="512">
        <f t="shared" si="15"/>
        <v>0</v>
      </c>
      <c r="H35" s="478">
        <f t="shared" si="16"/>
        <v>0</v>
      </c>
      <c r="I35" s="501">
        <f t="shared" si="6"/>
        <v>0</v>
      </c>
      <c r="J35" s="501"/>
      <c r="K35" s="513"/>
      <c r="L35" s="505">
        <f t="shared" si="2"/>
        <v>0</v>
      </c>
      <c r="M35" s="513"/>
      <c r="N35" s="505">
        <f t="shared" si="4"/>
        <v>0</v>
      </c>
      <c r="O35" s="505">
        <f t="shared" si="5"/>
        <v>0</v>
      </c>
      <c r="P35" s="279"/>
      <c r="R35" s="244"/>
      <c r="S35" s="244"/>
      <c r="T35" s="244"/>
      <c r="U35" s="244"/>
    </row>
    <row r="36" spans="2:21">
      <c r="B36" s="145" t="str">
        <f t="shared" si="0"/>
        <v/>
      </c>
      <c r="C36" s="496">
        <f>IF(D11="","-",+C35+1)</f>
        <v>2032</v>
      </c>
      <c r="D36" s="509">
        <v>0</v>
      </c>
      <c r="E36" s="510">
        <f t="shared" si="13"/>
        <v>0</v>
      </c>
      <c r="F36" s="511">
        <f t="shared" si="14"/>
        <v>0</v>
      </c>
      <c r="G36" s="512">
        <f t="shared" si="15"/>
        <v>0</v>
      </c>
      <c r="H36" s="478">
        <f t="shared" si="16"/>
        <v>0</v>
      </c>
      <c r="I36" s="501">
        <f t="shared" si="6"/>
        <v>0</v>
      </c>
      <c r="J36" s="501"/>
      <c r="K36" s="513"/>
      <c r="L36" s="505">
        <f t="shared" si="2"/>
        <v>0</v>
      </c>
      <c r="M36" s="513"/>
      <c r="N36" s="505">
        <f t="shared" si="4"/>
        <v>0</v>
      </c>
      <c r="O36" s="505">
        <f t="shared" si="5"/>
        <v>0</v>
      </c>
      <c r="P36" s="279"/>
      <c r="R36" s="244"/>
      <c r="S36" s="244"/>
      <c r="T36" s="244"/>
      <c r="U36" s="244"/>
    </row>
    <row r="37" spans="2:21">
      <c r="B37" s="145" t="str">
        <f t="shared" si="0"/>
        <v/>
      </c>
      <c r="C37" s="496">
        <f>IF(D11="","-",+C36+1)</f>
        <v>2033</v>
      </c>
      <c r="D37" s="509">
        <v>0</v>
      </c>
      <c r="E37" s="510">
        <f t="shared" si="13"/>
        <v>0</v>
      </c>
      <c r="F37" s="511">
        <f t="shared" si="14"/>
        <v>0</v>
      </c>
      <c r="G37" s="512">
        <f t="shared" si="15"/>
        <v>0</v>
      </c>
      <c r="H37" s="478">
        <f t="shared" si="16"/>
        <v>0</v>
      </c>
      <c r="I37" s="501">
        <f t="shared" si="6"/>
        <v>0</v>
      </c>
      <c r="J37" s="501"/>
      <c r="K37" s="513"/>
      <c r="L37" s="505">
        <f t="shared" si="2"/>
        <v>0</v>
      </c>
      <c r="M37" s="513"/>
      <c r="N37" s="505">
        <f t="shared" si="4"/>
        <v>0</v>
      </c>
      <c r="O37" s="505">
        <f t="shared" si="5"/>
        <v>0</v>
      </c>
      <c r="P37" s="279"/>
      <c r="R37" s="244"/>
      <c r="S37" s="244"/>
      <c r="T37" s="244"/>
      <c r="U37" s="244"/>
    </row>
    <row r="38" spans="2:21">
      <c r="B38" s="145" t="str">
        <f t="shared" si="0"/>
        <v/>
      </c>
      <c r="C38" s="496">
        <f>IF(D11="","-",+C37+1)</f>
        <v>2034</v>
      </c>
      <c r="D38" s="509">
        <v>0</v>
      </c>
      <c r="E38" s="510">
        <f t="shared" si="13"/>
        <v>0</v>
      </c>
      <c r="F38" s="511">
        <f t="shared" si="14"/>
        <v>0</v>
      </c>
      <c r="G38" s="512">
        <f t="shared" si="15"/>
        <v>0</v>
      </c>
      <c r="H38" s="478">
        <f t="shared" si="16"/>
        <v>0</v>
      </c>
      <c r="I38" s="501">
        <f t="shared" si="6"/>
        <v>0</v>
      </c>
      <c r="J38" s="501"/>
      <c r="K38" s="513"/>
      <c r="L38" s="505">
        <f t="shared" si="2"/>
        <v>0</v>
      </c>
      <c r="M38" s="513"/>
      <c r="N38" s="505">
        <f t="shared" si="4"/>
        <v>0</v>
      </c>
      <c r="O38" s="505">
        <f t="shared" si="5"/>
        <v>0</v>
      </c>
      <c r="P38" s="279"/>
      <c r="R38" s="244"/>
      <c r="S38" s="244"/>
      <c r="T38" s="244"/>
      <c r="U38" s="244"/>
    </row>
    <row r="39" spans="2:21">
      <c r="B39" s="145" t="str">
        <f t="shared" si="0"/>
        <v/>
      </c>
      <c r="C39" s="496">
        <f>IF(D11="","-",+C38+1)</f>
        <v>2035</v>
      </c>
      <c r="D39" s="509">
        <v>0</v>
      </c>
      <c r="E39" s="510">
        <f t="shared" si="13"/>
        <v>0</v>
      </c>
      <c r="F39" s="511">
        <f t="shared" si="14"/>
        <v>0</v>
      </c>
      <c r="G39" s="512">
        <f t="shared" si="15"/>
        <v>0</v>
      </c>
      <c r="H39" s="478">
        <f t="shared" si="16"/>
        <v>0</v>
      </c>
      <c r="I39" s="501">
        <f t="shared" si="6"/>
        <v>0</v>
      </c>
      <c r="J39" s="501"/>
      <c r="K39" s="513"/>
      <c r="L39" s="505">
        <f t="shared" si="2"/>
        <v>0</v>
      </c>
      <c r="M39" s="513"/>
      <c r="N39" s="505">
        <f t="shared" si="4"/>
        <v>0</v>
      </c>
      <c r="O39" s="505">
        <f t="shared" si="5"/>
        <v>0</v>
      </c>
      <c r="P39" s="279"/>
      <c r="R39" s="244"/>
      <c r="S39" s="244"/>
      <c r="T39" s="244"/>
      <c r="U39" s="244"/>
    </row>
    <row r="40" spans="2:21">
      <c r="B40" s="145" t="str">
        <f t="shared" si="0"/>
        <v/>
      </c>
      <c r="C40" s="496">
        <f>IF(D11="","-",+C39+1)</f>
        <v>2036</v>
      </c>
      <c r="D40" s="509">
        <v>0</v>
      </c>
      <c r="E40" s="510">
        <f t="shared" si="13"/>
        <v>0</v>
      </c>
      <c r="F40" s="511">
        <f t="shared" si="14"/>
        <v>0</v>
      </c>
      <c r="G40" s="512">
        <f t="shared" si="15"/>
        <v>0</v>
      </c>
      <c r="H40" s="478">
        <f t="shared" si="16"/>
        <v>0</v>
      </c>
      <c r="I40" s="501">
        <f t="shared" si="6"/>
        <v>0</v>
      </c>
      <c r="J40" s="501"/>
      <c r="K40" s="513"/>
      <c r="L40" s="505">
        <f t="shared" si="2"/>
        <v>0</v>
      </c>
      <c r="M40" s="513"/>
      <c r="N40" s="505">
        <f t="shared" si="4"/>
        <v>0</v>
      </c>
      <c r="O40" s="505">
        <f t="shared" si="5"/>
        <v>0</v>
      </c>
      <c r="P40" s="279"/>
      <c r="R40" s="244"/>
      <c r="S40" s="244"/>
      <c r="T40" s="244"/>
      <c r="U40" s="244"/>
    </row>
    <row r="41" spans="2:21">
      <c r="B41" s="145" t="str">
        <f t="shared" si="0"/>
        <v/>
      </c>
      <c r="C41" s="496">
        <f>IF(D12="","-",+C40+1)</f>
        <v>2037</v>
      </c>
      <c r="D41" s="509">
        <v>0</v>
      </c>
      <c r="E41" s="510">
        <f t="shared" si="13"/>
        <v>0</v>
      </c>
      <c r="F41" s="511">
        <f t="shared" si="14"/>
        <v>0</v>
      </c>
      <c r="G41" s="512">
        <f t="shared" si="15"/>
        <v>0</v>
      </c>
      <c r="H41" s="478">
        <f t="shared" si="16"/>
        <v>0</v>
      </c>
      <c r="I41" s="501">
        <f t="shared" si="6"/>
        <v>0</v>
      </c>
      <c r="J41" s="501"/>
      <c r="K41" s="513"/>
      <c r="L41" s="505">
        <f t="shared" si="2"/>
        <v>0</v>
      </c>
      <c r="M41" s="513"/>
      <c r="N41" s="505">
        <f t="shared" si="4"/>
        <v>0</v>
      </c>
      <c r="O41" s="505">
        <f t="shared" si="5"/>
        <v>0</v>
      </c>
      <c r="P41" s="279"/>
      <c r="R41" s="244"/>
      <c r="S41" s="244"/>
      <c r="T41" s="244"/>
      <c r="U41" s="244"/>
    </row>
    <row r="42" spans="2:21">
      <c r="B42" s="145" t="str">
        <f t="shared" si="0"/>
        <v/>
      </c>
      <c r="C42" s="496">
        <f>IF(D13="","-",+C41+1)</f>
        <v>2038</v>
      </c>
      <c r="D42" s="509">
        <v>0</v>
      </c>
      <c r="E42" s="510">
        <f t="shared" si="13"/>
        <v>0</v>
      </c>
      <c r="F42" s="511">
        <f t="shared" si="14"/>
        <v>0</v>
      </c>
      <c r="G42" s="512">
        <f t="shared" si="15"/>
        <v>0</v>
      </c>
      <c r="H42" s="478">
        <f t="shared" si="16"/>
        <v>0</v>
      </c>
      <c r="I42" s="501">
        <f t="shared" si="6"/>
        <v>0</v>
      </c>
      <c r="J42" s="501"/>
      <c r="K42" s="513"/>
      <c r="L42" s="505">
        <f t="shared" si="2"/>
        <v>0</v>
      </c>
      <c r="M42" s="513"/>
      <c r="N42" s="505">
        <f t="shared" si="4"/>
        <v>0</v>
      </c>
      <c r="O42" s="505">
        <f t="shared" si="5"/>
        <v>0</v>
      </c>
      <c r="P42" s="279"/>
      <c r="R42" s="244"/>
      <c r="S42" s="244"/>
      <c r="T42" s="244"/>
      <c r="U42" s="244"/>
    </row>
    <row r="43" spans="2:21">
      <c r="B43" s="145" t="str">
        <f t="shared" si="0"/>
        <v/>
      </c>
      <c r="C43" s="496">
        <f>IF(D11="","-",+C42+1)</f>
        <v>2039</v>
      </c>
      <c r="D43" s="509">
        <v>0</v>
      </c>
      <c r="E43" s="510">
        <f t="shared" si="13"/>
        <v>0</v>
      </c>
      <c r="F43" s="511">
        <f t="shared" si="14"/>
        <v>0</v>
      </c>
      <c r="G43" s="512">
        <f t="shared" si="15"/>
        <v>0</v>
      </c>
      <c r="H43" s="478">
        <f t="shared" si="16"/>
        <v>0</v>
      </c>
      <c r="I43" s="501">
        <f t="shared" si="6"/>
        <v>0</v>
      </c>
      <c r="J43" s="501"/>
      <c r="K43" s="513"/>
      <c r="L43" s="505">
        <f t="shared" si="2"/>
        <v>0</v>
      </c>
      <c r="M43" s="513"/>
      <c r="N43" s="505">
        <f t="shared" si="4"/>
        <v>0</v>
      </c>
      <c r="O43" s="505">
        <f t="shared" si="5"/>
        <v>0</v>
      </c>
      <c r="P43" s="279"/>
      <c r="R43" s="244"/>
      <c r="S43" s="244"/>
      <c r="T43" s="244"/>
      <c r="U43" s="244"/>
    </row>
    <row r="44" spans="2:21">
      <c r="B44" s="145" t="str">
        <f t="shared" si="0"/>
        <v/>
      </c>
      <c r="C44" s="496">
        <f>IF(D11="","-",+C43+1)</f>
        <v>2040</v>
      </c>
      <c r="D44" s="509">
        <v>0</v>
      </c>
      <c r="E44" s="510">
        <f t="shared" si="13"/>
        <v>0</v>
      </c>
      <c r="F44" s="511">
        <f t="shared" si="14"/>
        <v>0</v>
      </c>
      <c r="G44" s="512">
        <f t="shared" si="15"/>
        <v>0</v>
      </c>
      <c r="H44" s="478">
        <f t="shared" si="16"/>
        <v>0</v>
      </c>
      <c r="I44" s="501">
        <f t="shared" si="6"/>
        <v>0</v>
      </c>
      <c r="J44" s="501"/>
      <c r="K44" s="513"/>
      <c r="L44" s="505">
        <f t="shared" si="2"/>
        <v>0</v>
      </c>
      <c r="M44" s="513"/>
      <c r="N44" s="505">
        <f t="shared" si="4"/>
        <v>0</v>
      </c>
      <c r="O44" s="505">
        <f t="shared" si="5"/>
        <v>0</v>
      </c>
      <c r="P44" s="279"/>
      <c r="R44" s="244"/>
      <c r="S44" s="244"/>
      <c r="T44" s="244"/>
      <c r="U44" s="244"/>
    </row>
    <row r="45" spans="2:21">
      <c r="B45" s="145" t="str">
        <f t="shared" si="0"/>
        <v/>
      </c>
      <c r="C45" s="496">
        <f>IF(D11="","-",+C44+1)</f>
        <v>2041</v>
      </c>
      <c r="D45" s="509">
        <v>0</v>
      </c>
      <c r="E45" s="510">
        <f t="shared" si="13"/>
        <v>0</v>
      </c>
      <c r="F45" s="511">
        <f t="shared" si="14"/>
        <v>0</v>
      </c>
      <c r="G45" s="512">
        <f t="shared" si="15"/>
        <v>0</v>
      </c>
      <c r="H45" s="478">
        <f t="shared" si="16"/>
        <v>0</v>
      </c>
      <c r="I45" s="501">
        <f t="shared" si="6"/>
        <v>0</v>
      </c>
      <c r="J45" s="501"/>
      <c r="K45" s="513"/>
      <c r="L45" s="505">
        <f t="shared" si="2"/>
        <v>0</v>
      </c>
      <c r="M45" s="513"/>
      <c r="N45" s="505">
        <f t="shared" si="4"/>
        <v>0</v>
      </c>
      <c r="O45" s="505">
        <f t="shared" si="5"/>
        <v>0</v>
      </c>
      <c r="P45" s="279"/>
      <c r="R45" s="244"/>
      <c r="S45" s="244"/>
      <c r="T45" s="244"/>
      <c r="U45" s="244"/>
    </row>
    <row r="46" spans="2:21">
      <c r="B46" s="145" t="str">
        <f t="shared" si="0"/>
        <v/>
      </c>
      <c r="C46" s="496">
        <f>IF(D11="","-",+C45+1)</f>
        <v>2042</v>
      </c>
      <c r="D46" s="509">
        <v>0</v>
      </c>
      <c r="E46" s="510">
        <f t="shared" si="13"/>
        <v>0</v>
      </c>
      <c r="F46" s="511">
        <f t="shared" si="14"/>
        <v>0</v>
      </c>
      <c r="G46" s="512">
        <f t="shared" si="15"/>
        <v>0</v>
      </c>
      <c r="H46" s="478">
        <f t="shared" si="16"/>
        <v>0</v>
      </c>
      <c r="I46" s="501">
        <f t="shared" si="6"/>
        <v>0</v>
      </c>
      <c r="J46" s="501"/>
      <c r="K46" s="513"/>
      <c r="L46" s="505">
        <f t="shared" si="2"/>
        <v>0</v>
      </c>
      <c r="M46" s="513"/>
      <c r="N46" s="505">
        <f t="shared" si="4"/>
        <v>0</v>
      </c>
      <c r="O46" s="505">
        <f t="shared" si="5"/>
        <v>0</v>
      </c>
      <c r="P46" s="279"/>
      <c r="R46" s="244"/>
      <c r="S46" s="244"/>
      <c r="T46" s="244"/>
      <c r="U46" s="244"/>
    </row>
    <row r="47" spans="2:21">
      <c r="B47" s="145" t="str">
        <f t="shared" si="0"/>
        <v/>
      </c>
      <c r="C47" s="496">
        <f>IF(D11="","-",+C46+1)</f>
        <v>2043</v>
      </c>
      <c r="D47" s="509">
        <v>0</v>
      </c>
      <c r="E47" s="510">
        <f t="shared" si="13"/>
        <v>0</v>
      </c>
      <c r="F47" s="511">
        <f t="shared" si="14"/>
        <v>0</v>
      </c>
      <c r="G47" s="512">
        <f t="shared" si="15"/>
        <v>0</v>
      </c>
      <c r="H47" s="478">
        <f t="shared" si="16"/>
        <v>0</v>
      </c>
      <c r="I47" s="501">
        <f t="shared" si="6"/>
        <v>0</v>
      </c>
      <c r="J47" s="501"/>
      <c r="K47" s="513"/>
      <c r="L47" s="505">
        <f t="shared" si="2"/>
        <v>0</v>
      </c>
      <c r="M47" s="513"/>
      <c r="N47" s="505">
        <f t="shared" si="4"/>
        <v>0</v>
      </c>
      <c r="O47" s="505">
        <f t="shared" si="5"/>
        <v>0</v>
      </c>
      <c r="P47" s="279"/>
      <c r="R47" s="244"/>
      <c r="S47" s="244"/>
      <c r="T47" s="244"/>
      <c r="U47" s="244"/>
    </row>
    <row r="48" spans="2:21">
      <c r="B48" s="145" t="str">
        <f t="shared" si="0"/>
        <v/>
      </c>
      <c r="C48" s="496">
        <f>IF(D11="","-",+C47+1)</f>
        <v>2044</v>
      </c>
      <c r="D48" s="509">
        <v>0</v>
      </c>
      <c r="E48" s="510">
        <f t="shared" si="13"/>
        <v>0</v>
      </c>
      <c r="F48" s="511">
        <f t="shared" si="14"/>
        <v>0</v>
      </c>
      <c r="G48" s="512">
        <f t="shared" si="15"/>
        <v>0</v>
      </c>
      <c r="H48" s="478">
        <f t="shared" si="16"/>
        <v>0</v>
      </c>
      <c r="I48" s="501">
        <f t="shared" si="6"/>
        <v>0</v>
      </c>
      <c r="J48" s="501"/>
      <c r="K48" s="513"/>
      <c r="L48" s="505">
        <f t="shared" si="2"/>
        <v>0</v>
      </c>
      <c r="M48" s="513"/>
      <c r="N48" s="505">
        <f t="shared" si="4"/>
        <v>0</v>
      </c>
      <c r="O48" s="505">
        <f t="shared" si="5"/>
        <v>0</v>
      </c>
      <c r="P48" s="279"/>
      <c r="R48" s="244"/>
      <c r="S48" s="244"/>
      <c r="T48" s="244"/>
      <c r="U48" s="244"/>
    </row>
    <row r="49" spans="2:21">
      <c r="B49" s="145" t="str">
        <f t="shared" si="0"/>
        <v/>
      </c>
      <c r="C49" s="496">
        <f>IF(D11="","-",+C48+1)</f>
        <v>2045</v>
      </c>
      <c r="D49" s="509">
        <v>0</v>
      </c>
      <c r="E49" s="510">
        <f t="shared" si="13"/>
        <v>0</v>
      </c>
      <c r="F49" s="511">
        <f t="shared" si="14"/>
        <v>0</v>
      </c>
      <c r="G49" s="512">
        <f t="shared" si="15"/>
        <v>0</v>
      </c>
      <c r="H49" s="478">
        <f t="shared" si="16"/>
        <v>0</v>
      </c>
      <c r="I49" s="501">
        <f t="shared" si="6"/>
        <v>0</v>
      </c>
      <c r="J49" s="501"/>
      <c r="K49" s="513"/>
      <c r="L49" s="505">
        <f t="shared" si="2"/>
        <v>0</v>
      </c>
      <c r="M49" s="513"/>
      <c r="N49" s="505">
        <f t="shared" si="4"/>
        <v>0</v>
      </c>
      <c r="O49" s="505">
        <f t="shared" si="5"/>
        <v>0</v>
      </c>
      <c r="P49" s="279"/>
      <c r="R49" s="244"/>
      <c r="S49" s="244"/>
      <c r="T49" s="244"/>
      <c r="U49" s="244"/>
    </row>
    <row r="50" spans="2:21">
      <c r="B50" s="145" t="str">
        <f t="shared" si="0"/>
        <v/>
      </c>
      <c r="C50" s="496">
        <f>IF(D11="","-",+C49+1)</f>
        <v>2046</v>
      </c>
      <c r="D50" s="509">
        <v>0</v>
      </c>
      <c r="E50" s="510">
        <f t="shared" si="13"/>
        <v>0</v>
      </c>
      <c r="F50" s="511">
        <f t="shared" si="14"/>
        <v>0</v>
      </c>
      <c r="G50" s="512">
        <f t="shared" si="15"/>
        <v>0</v>
      </c>
      <c r="H50" s="478">
        <f t="shared" si="16"/>
        <v>0</v>
      </c>
      <c r="I50" s="501">
        <f t="shared" si="6"/>
        <v>0</v>
      </c>
      <c r="J50" s="501"/>
      <c r="K50" s="513"/>
      <c r="L50" s="505">
        <f t="shared" si="2"/>
        <v>0</v>
      </c>
      <c r="M50" s="513"/>
      <c r="N50" s="505">
        <f t="shared" si="4"/>
        <v>0</v>
      </c>
      <c r="O50" s="505">
        <f t="shared" si="5"/>
        <v>0</v>
      </c>
      <c r="P50" s="279"/>
      <c r="R50" s="244"/>
      <c r="S50" s="244"/>
      <c r="T50" s="244"/>
      <c r="U50" s="244"/>
    </row>
    <row r="51" spans="2:21">
      <c r="B51" s="145" t="str">
        <f t="shared" si="0"/>
        <v/>
      </c>
      <c r="C51" s="496">
        <f>IF(D11="","-",+C50+1)</f>
        <v>2047</v>
      </c>
      <c r="D51" s="509">
        <v>0</v>
      </c>
      <c r="E51" s="510">
        <f t="shared" si="13"/>
        <v>0</v>
      </c>
      <c r="F51" s="511">
        <f t="shared" si="14"/>
        <v>0</v>
      </c>
      <c r="G51" s="512">
        <f t="shared" si="15"/>
        <v>0</v>
      </c>
      <c r="H51" s="478">
        <f t="shared" si="16"/>
        <v>0</v>
      </c>
      <c r="I51" s="501">
        <f t="shared" si="6"/>
        <v>0</v>
      </c>
      <c r="J51" s="501"/>
      <c r="K51" s="513"/>
      <c r="L51" s="505">
        <f t="shared" si="2"/>
        <v>0</v>
      </c>
      <c r="M51" s="513"/>
      <c r="N51" s="505">
        <f t="shared" si="4"/>
        <v>0</v>
      </c>
      <c r="O51" s="505">
        <f t="shared" si="5"/>
        <v>0</v>
      </c>
      <c r="P51" s="279"/>
      <c r="R51" s="244"/>
      <c r="S51" s="244"/>
      <c r="T51" s="244"/>
      <c r="U51" s="244"/>
    </row>
    <row r="52" spans="2:21">
      <c r="B52" s="145" t="str">
        <f t="shared" si="0"/>
        <v/>
      </c>
      <c r="C52" s="496">
        <f>IF(D11="","-",+C51+1)</f>
        <v>2048</v>
      </c>
      <c r="D52" s="509">
        <v>0</v>
      </c>
      <c r="E52" s="510">
        <f t="shared" si="13"/>
        <v>0</v>
      </c>
      <c r="F52" s="511">
        <f t="shared" si="14"/>
        <v>0</v>
      </c>
      <c r="G52" s="512">
        <f t="shared" si="15"/>
        <v>0</v>
      </c>
      <c r="H52" s="478">
        <f t="shared" si="16"/>
        <v>0</v>
      </c>
      <c r="I52" s="501">
        <f t="shared" si="6"/>
        <v>0</v>
      </c>
      <c r="J52" s="501"/>
      <c r="K52" s="513"/>
      <c r="L52" s="505">
        <f t="shared" si="2"/>
        <v>0</v>
      </c>
      <c r="M52" s="513"/>
      <c r="N52" s="505">
        <f t="shared" si="4"/>
        <v>0</v>
      </c>
      <c r="O52" s="505">
        <f t="shared" si="5"/>
        <v>0</v>
      </c>
      <c r="P52" s="279"/>
      <c r="R52" s="244"/>
      <c r="S52" s="244"/>
      <c r="T52" s="244"/>
      <c r="U52" s="244"/>
    </row>
    <row r="53" spans="2:21">
      <c r="B53" s="145" t="str">
        <f t="shared" si="0"/>
        <v/>
      </c>
      <c r="C53" s="496">
        <f>IF(D11="","-",+C52+1)</f>
        <v>2049</v>
      </c>
      <c r="D53" s="509">
        <v>0</v>
      </c>
      <c r="E53" s="510">
        <f t="shared" si="13"/>
        <v>0</v>
      </c>
      <c r="F53" s="511">
        <f t="shared" si="14"/>
        <v>0</v>
      </c>
      <c r="G53" s="512">
        <f t="shared" si="15"/>
        <v>0</v>
      </c>
      <c r="H53" s="478">
        <f t="shared" si="16"/>
        <v>0</v>
      </c>
      <c r="I53" s="501">
        <f t="shared" si="6"/>
        <v>0</v>
      </c>
      <c r="J53" s="501"/>
      <c r="K53" s="513"/>
      <c r="L53" s="505">
        <f t="shared" si="2"/>
        <v>0</v>
      </c>
      <c r="M53" s="513"/>
      <c r="N53" s="505">
        <f t="shared" si="4"/>
        <v>0</v>
      </c>
      <c r="O53" s="505">
        <f t="shared" si="5"/>
        <v>0</v>
      </c>
      <c r="P53" s="279"/>
      <c r="R53" s="244"/>
      <c r="S53" s="244"/>
      <c r="T53" s="244"/>
      <c r="U53" s="244"/>
    </row>
    <row r="54" spans="2:21">
      <c r="B54" s="145" t="str">
        <f t="shared" si="0"/>
        <v/>
      </c>
      <c r="C54" s="496">
        <f>IF(D11="","-",+C53+1)</f>
        <v>2050</v>
      </c>
      <c r="D54" s="509">
        <v>0</v>
      </c>
      <c r="E54" s="510">
        <f t="shared" si="13"/>
        <v>0</v>
      </c>
      <c r="F54" s="511">
        <f t="shared" si="14"/>
        <v>0</v>
      </c>
      <c r="G54" s="512">
        <f t="shared" si="15"/>
        <v>0</v>
      </c>
      <c r="H54" s="478">
        <f t="shared" si="16"/>
        <v>0</v>
      </c>
      <c r="I54" s="501">
        <f t="shared" si="6"/>
        <v>0</v>
      </c>
      <c r="J54" s="501"/>
      <c r="K54" s="513"/>
      <c r="L54" s="505">
        <f t="shared" si="2"/>
        <v>0</v>
      </c>
      <c r="M54" s="513"/>
      <c r="N54" s="505">
        <f t="shared" si="4"/>
        <v>0</v>
      </c>
      <c r="O54" s="505">
        <f t="shared" si="5"/>
        <v>0</v>
      </c>
      <c r="P54" s="279"/>
      <c r="R54" s="244"/>
      <c r="S54" s="244"/>
      <c r="T54" s="244"/>
      <c r="U54" s="244"/>
    </row>
    <row r="55" spans="2:21">
      <c r="B55" s="145" t="str">
        <f t="shared" si="0"/>
        <v/>
      </c>
      <c r="C55" s="496">
        <f>IF(D11="","-",+C54+1)</f>
        <v>2051</v>
      </c>
      <c r="D55" s="509">
        <v>0</v>
      </c>
      <c r="E55" s="510">
        <f t="shared" si="13"/>
        <v>0</v>
      </c>
      <c r="F55" s="511">
        <f t="shared" si="14"/>
        <v>0</v>
      </c>
      <c r="G55" s="512">
        <f t="shared" si="15"/>
        <v>0</v>
      </c>
      <c r="H55" s="478">
        <f t="shared" si="16"/>
        <v>0</v>
      </c>
      <c r="I55" s="501">
        <f t="shared" si="6"/>
        <v>0</v>
      </c>
      <c r="J55" s="501"/>
      <c r="K55" s="513"/>
      <c r="L55" s="505">
        <f t="shared" si="2"/>
        <v>0</v>
      </c>
      <c r="M55" s="513"/>
      <c r="N55" s="505">
        <f t="shared" si="4"/>
        <v>0</v>
      </c>
      <c r="O55" s="505">
        <f t="shared" si="5"/>
        <v>0</v>
      </c>
      <c r="P55" s="279"/>
      <c r="R55" s="244"/>
      <c r="S55" s="244"/>
      <c r="T55" s="244"/>
      <c r="U55" s="244"/>
    </row>
    <row r="56" spans="2:21">
      <c r="B56" s="145" t="str">
        <f t="shared" si="0"/>
        <v/>
      </c>
      <c r="C56" s="496">
        <f>IF(D11="","-",+C55+1)</f>
        <v>2052</v>
      </c>
      <c r="D56" s="509">
        <v>0</v>
      </c>
      <c r="E56" s="510">
        <f t="shared" si="13"/>
        <v>0</v>
      </c>
      <c r="F56" s="511">
        <f t="shared" si="14"/>
        <v>0</v>
      </c>
      <c r="G56" s="512">
        <f t="shared" si="15"/>
        <v>0</v>
      </c>
      <c r="H56" s="478">
        <f t="shared" si="16"/>
        <v>0</v>
      </c>
      <c r="I56" s="501">
        <f t="shared" si="6"/>
        <v>0</v>
      </c>
      <c r="J56" s="501"/>
      <c r="K56" s="513"/>
      <c r="L56" s="505">
        <f t="shared" si="2"/>
        <v>0</v>
      </c>
      <c r="M56" s="513"/>
      <c r="N56" s="505">
        <f t="shared" si="4"/>
        <v>0</v>
      </c>
      <c r="O56" s="505">
        <f t="shared" si="5"/>
        <v>0</v>
      </c>
      <c r="P56" s="279"/>
      <c r="R56" s="244"/>
      <c r="S56" s="244"/>
      <c r="T56" s="244"/>
      <c r="U56" s="244"/>
    </row>
    <row r="57" spans="2:21">
      <c r="B57" s="145" t="str">
        <f t="shared" si="0"/>
        <v/>
      </c>
      <c r="C57" s="496">
        <f>IF(D11="","-",+C56+1)</f>
        <v>2053</v>
      </c>
      <c r="D57" s="509">
        <v>0</v>
      </c>
      <c r="E57" s="510">
        <f t="shared" si="13"/>
        <v>0</v>
      </c>
      <c r="F57" s="511">
        <f t="shared" si="14"/>
        <v>0</v>
      </c>
      <c r="G57" s="512">
        <f t="shared" si="15"/>
        <v>0</v>
      </c>
      <c r="H57" s="478">
        <f t="shared" si="16"/>
        <v>0</v>
      </c>
      <c r="I57" s="501">
        <f t="shared" si="6"/>
        <v>0</v>
      </c>
      <c r="J57" s="501"/>
      <c r="K57" s="513"/>
      <c r="L57" s="505">
        <f t="shared" si="2"/>
        <v>0</v>
      </c>
      <c r="M57" s="513"/>
      <c r="N57" s="505">
        <f t="shared" si="4"/>
        <v>0</v>
      </c>
      <c r="O57" s="505">
        <f t="shared" si="5"/>
        <v>0</v>
      </c>
      <c r="P57" s="279"/>
      <c r="R57" s="244"/>
      <c r="S57" s="244"/>
      <c r="T57" s="244"/>
      <c r="U57" s="244"/>
    </row>
    <row r="58" spans="2:21">
      <c r="B58" s="145" t="str">
        <f t="shared" si="0"/>
        <v/>
      </c>
      <c r="C58" s="496">
        <f>IF(D11="","-",+C57+1)</f>
        <v>2054</v>
      </c>
      <c r="D58" s="509">
        <v>0</v>
      </c>
      <c r="E58" s="510">
        <f t="shared" si="13"/>
        <v>0</v>
      </c>
      <c r="F58" s="511">
        <f t="shared" si="14"/>
        <v>0</v>
      </c>
      <c r="G58" s="512">
        <f t="shared" si="15"/>
        <v>0</v>
      </c>
      <c r="H58" s="478">
        <f t="shared" si="16"/>
        <v>0</v>
      </c>
      <c r="I58" s="501">
        <f t="shared" si="6"/>
        <v>0</v>
      </c>
      <c r="J58" s="501"/>
      <c r="K58" s="513"/>
      <c r="L58" s="505">
        <f t="shared" si="2"/>
        <v>0</v>
      </c>
      <c r="M58" s="513"/>
      <c r="N58" s="505">
        <f t="shared" si="4"/>
        <v>0</v>
      </c>
      <c r="O58" s="505">
        <f t="shared" si="5"/>
        <v>0</v>
      </c>
      <c r="P58" s="279"/>
      <c r="R58" s="244"/>
      <c r="S58" s="244"/>
      <c r="T58" s="244"/>
      <c r="U58" s="244"/>
    </row>
    <row r="59" spans="2:21">
      <c r="B59" s="145" t="str">
        <f t="shared" si="0"/>
        <v/>
      </c>
      <c r="C59" s="496">
        <f>IF(D11="","-",+C58+1)</f>
        <v>2055</v>
      </c>
      <c r="D59" s="509">
        <v>0</v>
      </c>
      <c r="E59" s="510">
        <f t="shared" si="13"/>
        <v>0</v>
      </c>
      <c r="F59" s="511">
        <f t="shared" si="14"/>
        <v>0</v>
      </c>
      <c r="G59" s="512">
        <f t="shared" si="15"/>
        <v>0</v>
      </c>
      <c r="H59" s="478">
        <f t="shared" si="16"/>
        <v>0</v>
      </c>
      <c r="I59" s="501">
        <f t="shared" si="6"/>
        <v>0</v>
      </c>
      <c r="J59" s="501"/>
      <c r="K59" s="513"/>
      <c r="L59" s="505">
        <f t="shared" si="2"/>
        <v>0</v>
      </c>
      <c r="M59" s="513"/>
      <c r="N59" s="505">
        <f t="shared" si="4"/>
        <v>0</v>
      </c>
      <c r="O59" s="505">
        <f t="shared" si="5"/>
        <v>0</v>
      </c>
      <c r="P59" s="279"/>
      <c r="R59" s="244"/>
      <c r="S59" s="244"/>
      <c r="T59" s="244"/>
      <c r="U59" s="244"/>
    </row>
    <row r="60" spans="2:21">
      <c r="B60" s="145" t="str">
        <f t="shared" si="0"/>
        <v/>
      </c>
      <c r="C60" s="496">
        <f>IF(D11="","-",+C59+1)</f>
        <v>2056</v>
      </c>
      <c r="D60" s="509">
        <v>0</v>
      </c>
      <c r="E60" s="510">
        <f t="shared" si="13"/>
        <v>0</v>
      </c>
      <c r="F60" s="511">
        <f t="shared" si="14"/>
        <v>0</v>
      </c>
      <c r="G60" s="512">
        <f t="shared" si="15"/>
        <v>0</v>
      </c>
      <c r="H60" s="478">
        <f t="shared" si="16"/>
        <v>0</v>
      </c>
      <c r="I60" s="501">
        <f t="shared" si="6"/>
        <v>0</v>
      </c>
      <c r="J60" s="501"/>
      <c r="K60" s="513"/>
      <c r="L60" s="505">
        <f t="shared" si="2"/>
        <v>0</v>
      </c>
      <c r="M60" s="513"/>
      <c r="N60" s="505">
        <f t="shared" si="4"/>
        <v>0</v>
      </c>
      <c r="O60" s="505">
        <f t="shared" si="5"/>
        <v>0</v>
      </c>
      <c r="P60" s="279"/>
      <c r="R60" s="244"/>
      <c r="S60" s="244"/>
      <c r="T60" s="244"/>
      <c r="U60" s="244"/>
    </row>
    <row r="61" spans="2:21">
      <c r="B61" s="145" t="str">
        <f t="shared" si="0"/>
        <v/>
      </c>
      <c r="C61" s="496">
        <f>IF(D11="","-",+C60+1)</f>
        <v>2057</v>
      </c>
      <c r="D61" s="509">
        <v>0</v>
      </c>
      <c r="E61" s="510">
        <f t="shared" si="13"/>
        <v>0</v>
      </c>
      <c r="F61" s="511">
        <f t="shared" si="14"/>
        <v>0</v>
      </c>
      <c r="G61" s="512">
        <f t="shared" si="15"/>
        <v>0</v>
      </c>
      <c r="H61" s="478">
        <f t="shared" si="16"/>
        <v>0</v>
      </c>
      <c r="I61" s="501">
        <f t="shared" si="6"/>
        <v>0</v>
      </c>
      <c r="J61" s="501"/>
      <c r="K61" s="513"/>
      <c r="L61" s="505">
        <f t="shared" si="2"/>
        <v>0</v>
      </c>
      <c r="M61" s="513"/>
      <c r="N61" s="505">
        <f t="shared" si="4"/>
        <v>0</v>
      </c>
      <c r="O61" s="505">
        <f t="shared" si="5"/>
        <v>0</v>
      </c>
      <c r="P61" s="279"/>
      <c r="R61" s="244"/>
      <c r="S61" s="244"/>
      <c r="T61" s="244"/>
      <c r="U61" s="244"/>
    </row>
    <row r="62" spans="2:21">
      <c r="B62" s="145" t="str">
        <f t="shared" si="0"/>
        <v/>
      </c>
      <c r="C62" s="496">
        <f>IF(D11="","-",+C61+1)</f>
        <v>2058</v>
      </c>
      <c r="D62" s="509">
        <v>0</v>
      </c>
      <c r="E62" s="510">
        <f t="shared" si="13"/>
        <v>0</v>
      </c>
      <c r="F62" s="511">
        <f t="shared" si="14"/>
        <v>0</v>
      </c>
      <c r="G62" s="512">
        <f t="shared" si="15"/>
        <v>0</v>
      </c>
      <c r="H62" s="478">
        <f t="shared" si="16"/>
        <v>0</v>
      </c>
      <c r="I62" s="501">
        <f t="shared" si="6"/>
        <v>0</v>
      </c>
      <c r="J62" s="501"/>
      <c r="K62" s="513"/>
      <c r="L62" s="505">
        <f t="shared" si="2"/>
        <v>0</v>
      </c>
      <c r="M62" s="513"/>
      <c r="N62" s="505">
        <f t="shared" si="4"/>
        <v>0</v>
      </c>
      <c r="O62" s="505">
        <f t="shared" si="5"/>
        <v>0</v>
      </c>
      <c r="P62" s="279"/>
      <c r="R62" s="244"/>
      <c r="S62" s="244"/>
      <c r="T62" s="244"/>
      <c r="U62" s="244"/>
    </row>
    <row r="63" spans="2:21">
      <c r="B63" s="145" t="str">
        <f t="shared" si="0"/>
        <v/>
      </c>
      <c r="C63" s="496">
        <f>IF(D11="","-",+C62+1)</f>
        <v>2059</v>
      </c>
      <c r="D63" s="509">
        <v>0</v>
      </c>
      <c r="E63" s="510">
        <f t="shared" si="13"/>
        <v>0</v>
      </c>
      <c r="F63" s="511">
        <f t="shared" si="14"/>
        <v>0</v>
      </c>
      <c r="G63" s="512">
        <f t="shared" si="15"/>
        <v>0</v>
      </c>
      <c r="H63" s="478">
        <f t="shared" si="16"/>
        <v>0</v>
      </c>
      <c r="I63" s="501">
        <f t="shared" si="6"/>
        <v>0</v>
      </c>
      <c r="J63" s="501"/>
      <c r="K63" s="513"/>
      <c r="L63" s="505">
        <f t="shared" si="2"/>
        <v>0</v>
      </c>
      <c r="M63" s="513"/>
      <c r="N63" s="505">
        <f t="shared" si="4"/>
        <v>0</v>
      </c>
      <c r="O63" s="505">
        <f t="shared" si="5"/>
        <v>0</v>
      </c>
      <c r="P63" s="279"/>
      <c r="R63" s="244"/>
      <c r="S63" s="244"/>
      <c r="T63" s="244"/>
      <c r="U63" s="244"/>
    </row>
    <row r="64" spans="2:21">
      <c r="B64" s="145" t="str">
        <f t="shared" si="0"/>
        <v/>
      </c>
      <c r="C64" s="496">
        <f>IF(D11="","-",+C63+1)</f>
        <v>2060</v>
      </c>
      <c r="D64" s="509">
        <v>0</v>
      </c>
      <c r="E64" s="510">
        <f t="shared" si="13"/>
        <v>0</v>
      </c>
      <c r="F64" s="511">
        <f t="shared" si="14"/>
        <v>0</v>
      </c>
      <c r="G64" s="512">
        <f t="shared" si="15"/>
        <v>0</v>
      </c>
      <c r="H64" s="478">
        <f t="shared" si="16"/>
        <v>0</v>
      </c>
      <c r="I64" s="501">
        <f t="shared" si="6"/>
        <v>0</v>
      </c>
      <c r="J64" s="501"/>
      <c r="K64" s="513"/>
      <c r="L64" s="505">
        <f t="shared" si="2"/>
        <v>0</v>
      </c>
      <c r="M64" s="513"/>
      <c r="N64" s="505">
        <f t="shared" si="4"/>
        <v>0</v>
      </c>
      <c r="O64" s="505">
        <f t="shared" si="5"/>
        <v>0</v>
      </c>
      <c r="P64" s="279"/>
      <c r="R64" s="244"/>
      <c r="S64" s="244"/>
      <c r="T64" s="244"/>
      <c r="U64" s="244"/>
    </row>
    <row r="65" spans="2:21">
      <c r="B65" s="145" t="str">
        <f t="shared" si="0"/>
        <v/>
      </c>
      <c r="C65" s="496">
        <f>IF(D11="","-",+C64+1)</f>
        <v>2061</v>
      </c>
      <c r="D65" s="509">
        <v>0</v>
      </c>
      <c r="E65" s="510">
        <f t="shared" si="13"/>
        <v>0</v>
      </c>
      <c r="F65" s="511">
        <f t="shared" si="14"/>
        <v>0</v>
      </c>
      <c r="G65" s="512">
        <f t="shared" si="15"/>
        <v>0</v>
      </c>
      <c r="H65" s="478">
        <f t="shared" si="16"/>
        <v>0</v>
      </c>
      <c r="I65" s="501">
        <f t="shared" si="6"/>
        <v>0</v>
      </c>
      <c r="J65" s="501"/>
      <c r="K65" s="513"/>
      <c r="L65" s="505">
        <f t="shared" si="2"/>
        <v>0</v>
      </c>
      <c r="M65" s="513"/>
      <c r="N65" s="505">
        <f t="shared" si="4"/>
        <v>0</v>
      </c>
      <c r="O65" s="505">
        <f t="shared" si="5"/>
        <v>0</v>
      </c>
      <c r="P65" s="279"/>
      <c r="R65" s="244"/>
      <c r="S65" s="244"/>
      <c r="T65" s="244"/>
      <c r="U65" s="244"/>
    </row>
    <row r="66" spans="2:21">
      <c r="B66" s="145" t="str">
        <f t="shared" si="0"/>
        <v/>
      </c>
      <c r="C66" s="496">
        <f>IF(D11="","-",+C65+1)</f>
        <v>2062</v>
      </c>
      <c r="D66" s="509">
        <v>0</v>
      </c>
      <c r="E66" s="510">
        <f t="shared" si="13"/>
        <v>0</v>
      </c>
      <c r="F66" s="511">
        <f t="shared" si="14"/>
        <v>0</v>
      </c>
      <c r="G66" s="512">
        <f t="shared" si="15"/>
        <v>0</v>
      </c>
      <c r="H66" s="478">
        <f t="shared" si="16"/>
        <v>0</v>
      </c>
      <c r="I66" s="501">
        <f t="shared" si="6"/>
        <v>0</v>
      </c>
      <c r="J66" s="501"/>
      <c r="K66" s="513"/>
      <c r="L66" s="505">
        <f t="shared" si="2"/>
        <v>0</v>
      </c>
      <c r="M66" s="513"/>
      <c r="N66" s="505">
        <f t="shared" si="4"/>
        <v>0</v>
      </c>
      <c r="O66" s="505">
        <f t="shared" si="5"/>
        <v>0</v>
      </c>
      <c r="P66" s="279"/>
      <c r="R66" s="244"/>
      <c r="S66" s="244"/>
      <c r="T66" s="244"/>
      <c r="U66" s="244"/>
    </row>
    <row r="67" spans="2:21">
      <c r="B67" s="145" t="str">
        <f t="shared" si="0"/>
        <v/>
      </c>
      <c r="C67" s="496">
        <f>IF(D11="","-",+C66+1)</f>
        <v>2063</v>
      </c>
      <c r="D67" s="509">
        <v>0</v>
      </c>
      <c r="E67" s="510">
        <f t="shared" si="13"/>
        <v>0</v>
      </c>
      <c r="F67" s="511">
        <f t="shared" si="14"/>
        <v>0</v>
      </c>
      <c r="G67" s="512">
        <f t="shared" si="15"/>
        <v>0</v>
      </c>
      <c r="H67" s="478">
        <f t="shared" si="16"/>
        <v>0</v>
      </c>
      <c r="I67" s="501">
        <f t="shared" si="6"/>
        <v>0</v>
      </c>
      <c r="J67" s="501"/>
      <c r="K67" s="513"/>
      <c r="L67" s="505">
        <f t="shared" si="2"/>
        <v>0</v>
      </c>
      <c r="M67" s="513"/>
      <c r="N67" s="505">
        <f t="shared" si="4"/>
        <v>0</v>
      </c>
      <c r="O67" s="505">
        <f t="shared" si="5"/>
        <v>0</v>
      </c>
      <c r="P67" s="279"/>
      <c r="R67" s="244"/>
      <c r="S67" s="244"/>
      <c r="T67" s="244"/>
      <c r="U67" s="244"/>
    </row>
    <row r="68" spans="2:21">
      <c r="B68" s="145" t="str">
        <f t="shared" si="0"/>
        <v/>
      </c>
      <c r="C68" s="496">
        <f>IF(D11="","-",+C67+1)</f>
        <v>2064</v>
      </c>
      <c r="D68" s="509">
        <v>0</v>
      </c>
      <c r="E68" s="510">
        <f t="shared" si="13"/>
        <v>0</v>
      </c>
      <c r="F68" s="511">
        <f t="shared" si="14"/>
        <v>0</v>
      </c>
      <c r="G68" s="512">
        <f t="shared" si="15"/>
        <v>0</v>
      </c>
      <c r="H68" s="478">
        <f t="shared" si="16"/>
        <v>0</v>
      </c>
      <c r="I68" s="501">
        <f t="shared" si="6"/>
        <v>0</v>
      </c>
      <c r="J68" s="501"/>
      <c r="K68" s="513"/>
      <c r="L68" s="505">
        <f t="shared" si="2"/>
        <v>0</v>
      </c>
      <c r="M68" s="513"/>
      <c r="N68" s="505">
        <f t="shared" si="4"/>
        <v>0</v>
      </c>
      <c r="O68" s="505">
        <f t="shared" si="5"/>
        <v>0</v>
      </c>
      <c r="P68" s="279"/>
      <c r="R68" s="244"/>
      <c r="S68" s="244"/>
      <c r="T68" s="244"/>
      <c r="U68" s="244"/>
    </row>
    <row r="69" spans="2:21">
      <c r="B69" s="145" t="str">
        <f t="shared" si="0"/>
        <v/>
      </c>
      <c r="C69" s="496">
        <f>IF(D11="","-",+C68+1)</f>
        <v>2065</v>
      </c>
      <c r="D69" s="509">
        <v>0</v>
      </c>
      <c r="E69" s="510">
        <f t="shared" si="13"/>
        <v>0</v>
      </c>
      <c r="F69" s="511">
        <f t="shared" si="14"/>
        <v>0</v>
      </c>
      <c r="G69" s="512">
        <f t="shared" si="15"/>
        <v>0</v>
      </c>
      <c r="H69" s="478">
        <f t="shared" si="16"/>
        <v>0</v>
      </c>
      <c r="I69" s="501">
        <f t="shared" si="6"/>
        <v>0</v>
      </c>
      <c r="J69" s="501"/>
      <c r="K69" s="513"/>
      <c r="L69" s="505">
        <f t="shared" si="2"/>
        <v>0</v>
      </c>
      <c r="M69" s="513"/>
      <c r="N69" s="505">
        <f t="shared" si="4"/>
        <v>0</v>
      </c>
      <c r="O69" s="505">
        <f t="shared" si="5"/>
        <v>0</v>
      </c>
      <c r="P69" s="279"/>
      <c r="R69" s="244"/>
      <c r="S69" s="244"/>
      <c r="T69" s="244"/>
      <c r="U69" s="244"/>
    </row>
    <row r="70" spans="2:21">
      <c r="B70" s="145" t="str">
        <f t="shared" si="0"/>
        <v/>
      </c>
      <c r="C70" s="496">
        <f>IF(D11="","-",+C69+1)</f>
        <v>2066</v>
      </c>
      <c r="D70" s="509">
        <v>0</v>
      </c>
      <c r="E70" s="510">
        <f t="shared" si="13"/>
        <v>0</v>
      </c>
      <c r="F70" s="511">
        <f t="shared" si="14"/>
        <v>0</v>
      </c>
      <c r="G70" s="512">
        <f t="shared" si="15"/>
        <v>0</v>
      </c>
      <c r="H70" s="478">
        <f t="shared" si="16"/>
        <v>0</v>
      </c>
      <c r="I70" s="501">
        <f t="shared" si="6"/>
        <v>0</v>
      </c>
      <c r="J70" s="501"/>
      <c r="K70" s="513"/>
      <c r="L70" s="505">
        <f t="shared" si="2"/>
        <v>0</v>
      </c>
      <c r="M70" s="513"/>
      <c r="N70" s="505">
        <f t="shared" si="4"/>
        <v>0</v>
      </c>
      <c r="O70" s="505">
        <f t="shared" si="5"/>
        <v>0</v>
      </c>
      <c r="P70" s="279"/>
      <c r="R70" s="244"/>
      <c r="S70" s="244"/>
      <c r="T70" s="244"/>
      <c r="U70" s="244"/>
    </row>
    <row r="71" spans="2:21">
      <c r="B71" s="145" t="str">
        <f t="shared" si="0"/>
        <v/>
      </c>
      <c r="C71" s="496">
        <f>IF(D11="","-",+C70+1)</f>
        <v>2067</v>
      </c>
      <c r="D71" s="509">
        <v>0</v>
      </c>
      <c r="E71" s="510">
        <f t="shared" si="13"/>
        <v>0</v>
      </c>
      <c r="F71" s="511">
        <f t="shared" si="14"/>
        <v>0</v>
      </c>
      <c r="G71" s="512">
        <f t="shared" si="15"/>
        <v>0</v>
      </c>
      <c r="H71" s="478">
        <f t="shared" si="16"/>
        <v>0</v>
      </c>
      <c r="I71" s="501">
        <f t="shared" si="6"/>
        <v>0</v>
      </c>
      <c r="J71" s="501"/>
      <c r="K71" s="513"/>
      <c r="L71" s="505">
        <f t="shared" si="2"/>
        <v>0</v>
      </c>
      <c r="M71" s="513"/>
      <c r="N71" s="505">
        <f t="shared" si="4"/>
        <v>0</v>
      </c>
      <c r="O71" s="505">
        <f t="shared" si="5"/>
        <v>0</v>
      </c>
      <c r="P71" s="279"/>
      <c r="R71" s="244"/>
      <c r="S71" s="244"/>
      <c r="T71" s="244"/>
      <c r="U71" s="244"/>
    </row>
    <row r="72" spans="2:21">
      <c r="B72" s="145" t="str">
        <f t="shared" si="0"/>
        <v/>
      </c>
      <c r="C72" s="496">
        <f>IF(D11="","-",+C71+1)</f>
        <v>2068</v>
      </c>
      <c r="D72" s="509">
        <v>0</v>
      </c>
      <c r="E72" s="510">
        <f t="shared" si="13"/>
        <v>0</v>
      </c>
      <c r="F72" s="511">
        <f t="shared" si="14"/>
        <v>0</v>
      </c>
      <c r="G72" s="512">
        <f t="shared" si="15"/>
        <v>0</v>
      </c>
      <c r="H72" s="478">
        <f t="shared" si="16"/>
        <v>0</v>
      </c>
      <c r="I72" s="501">
        <f t="shared" si="6"/>
        <v>0</v>
      </c>
      <c r="J72" s="501"/>
      <c r="K72" s="513"/>
      <c r="L72" s="505">
        <f t="shared" si="2"/>
        <v>0</v>
      </c>
      <c r="M72" s="513"/>
      <c r="N72" s="505">
        <f t="shared" si="4"/>
        <v>0</v>
      </c>
      <c r="O72" s="505">
        <f t="shared" si="5"/>
        <v>0</v>
      </c>
      <c r="P72" s="279"/>
      <c r="R72" s="244"/>
      <c r="S72" s="244"/>
      <c r="T72" s="244"/>
      <c r="U72" s="244"/>
    </row>
    <row r="73" spans="2:21" ht="13.5" thickBot="1">
      <c r="B73" s="145" t="str">
        <f t="shared" si="0"/>
        <v/>
      </c>
      <c r="C73" s="525">
        <f>IF(D11="","-",+C72+1)</f>
        <v>2069</v>
      </c>
      <c r="D73" s="509">
        <v>0</v>
      </c>
      <c r="E73" s="510">
        <f t="shared" si="13"/>
        <v>0</v>
      </c>
      <c r="F73" s="511">
        <f t="shared" si="14"/>
        <v>0</v>
      </c>
      <c r="G73" s="512">
        <f t="shared" si="15"/>
        <v>0</v>
      </c>
      <c r="H73" s="478">
        <f t="shared" si="16"/>
        <v>0</v>
      </c>
      <c r="I73" s="530">
        <f t="shared" si="6"/>
        <v>0</v>
      </c>
      <c r="J73" s="501"/>
      <c r="K73" s="531"/>
      <c r="L73" s="532">
        <f t="shared" si="2"/>
        <v>0</v>
      </c>
      <c r="M73" s="531"/>
      <c r="N73" s="532">
        <f t="shared" si="4"/>
        <v>0</v>
      </c>
      <c r="O73" s="532">
        <f t="shared" si="5"/>
        <v>0</v>
      </c>
      <c r="P73" s="279"/>
      <c r="R73" s="244"/>
      <c r="S73" s="244"/>
      <c r="T73" s="244"/>
      <c r="U73" s="244"/>
    </row>
    <row r="74" spans="2:21">
      <c r="C74" s="350" t="s">
        <v>75</v>
      </c>
      <c r="D74" s="295"/>
      <c r="E74" s="295">
        <f>SUM(E17:E73)</f>
        <v>332473.56066177262</v>
      </c>
      <c r="F74" s="295"/>
      <c r="G74" s="295">
        <f>SUM(G17:G73)</f>
        <v>2202085.102043014</v>
      </c>
      <c r="H74" s="295">
        <f>SUM(H17:H73)</f>
        <v>2202085.102043014</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13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75">
      <c r="C89" s="634" t="s">
        <v>267</v>
      </c>
      <c r="D89" s="293"/>
      <c r="E89" s="244"/>
      <c r="F89" s="244"/>
      <c r="G89" s="244"/>
      <c r="H89" s="244"/>
      <c r="I89" s="450"/>
      <c r="J89" s="450"/>
      <c r="K89" s="547"/>
      <c r="L89" s="548" t="s">
        <v>254</v>
      </c>
      <c r="M89" s="549">
        <f>IF(J93&lt;D11,0,VLOOKUP(J93,C100:P155,6))</f>
        <v>0</v>
      </c>
      <c r="N89" s="549">
        <f>IF(J93&lt;D11,0,VLOOKUP(J93,C100:P155,7))</f>
        <v>0</v>
      </c>
      <c r="O89" s="550">
        <f>+N89-M89</f>
        <v>0</v>
      </c>
      <c r="P89" s="244"/>
      <c r="Q89" s="244"/>
      <c r="R89" s="244"/>
      <c r="S89" s="244"/>
      <c r="T89" s="244"/>
      <c r="U89" s="244"/>
    </row>
    <row r="90" spans="1:21" ht="13.5" thickBot="1">
      <c r="C90" s="455" t="s">
        <v>82</v>
      </c>
      <c r="D90" s="551" t="str">
        <f>+D7</f>
        <v>Ellis 138 kV</v>
      </c>
      <c r="E90" s="244"/>
      <c r="F90" s="244"/>
      <c r="G90" s="244"/>
      <c r="H90" s="244"/>
      <c r="I90" s="326"/>
      <c r="J90" s="326"/>
      <c r="K90" s="552"/>
      <c r="L90" s="553" t="s">
        <v>135</v>
      </c>
      <c r="M90" s="554">
        <f>+M89-M88</f>
        <v>0</v>
      </c>
      <c r="N90" s="554">
        <f>+N89-N88</f>
        <v>0</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TP2012055</v>
      </c>
      <c r="E92" s="559"/>
      <c r="F92" s="559"/>
      <c r="G92" s="559"/>
      <c r="H92" s="559"/>
      <c r="I92" s="559"/>
      <c r="J92" s="559"/>
      <c r="K92" s="561"/>
      <c r="P92" s="469"/>
      <c r="Q92" s="244"/>
      <c r="R92" s="244"/>
      <c r="S92" s="244"/>
      <c r="T92" s="244"/>
      <c r="U92" s="244"/>
    </row>
    <row r="93" spans="1:21">
      <c r="C93" s="473" t="s">
        <v>49</v>
      </c>
      <c r="D93" s="471">
        <v>0</v>
      </c>
      <c r="E93" s="249" t="s">
        <v>84</v>
      </c>
      <c r="H93" s="409"/>
      <c r="I93" s="409"/>
      <c r="J93" s="472">
        <f>+'OKT.WS.G.BPU.ATRR.True-up'!M16</f>
        <v>2021</v>
      </c>
      <c r="K93" s="468"/>
      <c r="L93" s="295" t="s">
        <v>85</v>
      </c>
      <c r="P93" s="279"/>
      <c r="Q93" s="244"/>
      <c r="R93" s="244"/>
      <c r="S93" s="244"/>
      <c r="T93" s="244"/>
      <c r="U93" s="244"/>
    </row>
    <row r="94" spans="1:21">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10</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0</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2013</v>
      </c>
      <c r="D100" s="350"/>
      <c r="E100" s="512"/>
      <c r="F100" s="511"/>
      <c r="G100" s="606"/>
      <c r="H100" s="606"/>
      <c r="I100" s="606"/>
      <c r="J100" s="505"/>
      <c r="K100" s="505"/>
      <c r="L100" s="502"/>
      <c r="M100" s="503">
        <f t="shared" ref="M100:M131" si="17">IF(L100&lt;&gt;0,+H100-L100,0)</f>
        <v>0</v>
      </c>
      <c r="N100" s="502"/>
      <c r="O100" s="504">
        <f t="shared" ref="O100:O131" si="18">IF(N100&lt;&gt;0,+I100-N100,0)</f>
        <v>0</v>
      </c>
      <c r="P100" s="504">
        <f t="shared" ref="P100:P131" si="19">+O100-M100</f>
        <v>0</v>
      </c>
      <c r="Q100" s="244"/>
      <c r="R100" s="244"/>
      <c r="S100" s="244"/>
      <c r="T100" s="244"/>
      <c r="U100" s="244"/>
    </row>
    <row r="101" spans="1:21">
      <c r="C101" s="496">
        <f>IF(D94="","-",+C100+1)</f>
        <v>2014</v>
      </c>
      <c r="D101" s="350"/>
      <c r="E101" s="510"/>
      <c r="F101" s="511"/>
      <c r="G101" s="511"/>
      <c r="H101" s="627"/>
      <c r="I101" s="628"/>
      <c r="J101" s="505"/>
      <c r="K101" s="505"/>
      <c r="L101" s="507"/>
      <c r="M101" s="508">
        <f t="shared" si="17"/>
        <v>0</v>
      </c>
      <c r="N101" s="507"/>
      <c r="O101" s="505">
        <f t="shared" si="18"/>
        <v>0</v>
      </c>
      <c r="P101" s="505">
        <f t="shared" si="19"/>
        <v>0</v>
      </c>
      <c r="Q101" s="244"/>
      <c r="R101" s="244"/>
      <c r="S101" s="244"/>
      <c r="T101" s="244"/>
      <c r="U101" s="244"/>
    </row>
    <row r="102" spans="1:21">
      <c r="B102" s="145" t="str">
        <f t="shared" ref="B102:B155" si="20">IF(D102=F101,"","IU")</f>
        <v>IU</v>
      </c>
      <c r="C102" s="496">
        <f>IF(D94="","-",+C101+1)</f>
        <v>2015</v>
      </c>
      <c r="D102" s="497">
        <v>4004216.6870407565</v>
      </c>
      <c r="E102" s="499">
        <v>85139.5</v>
      </c>
      <c r="F102" s="506">
        <v>3919077.1870407565</v>
      </c>
      <c r="G102" s="506">
        <v>3961646.9370407565</v>
      </c>
      <c r="H102" s="499">
        <v>526187.38978732098</v>
      </c>
      <c r="I102" s="500">
        <v>526187.38978732098</v>
      </c>
      <c r="J102" s="505">
        <v>0</v>
      </c>
      <c r="K102" s="505"/>
      <c r="L102" s="507">
        <f>H102</f>
        <v>526187.38978732098</v>
      </c>
      <c r="M102" s="505">
        <f>IF(L102&lt;&gt;0,+H102-L102,0)</f>
        <v>0</v>
      </c>
      <c r="N102" s="507">
        <f>I102</f>
        <v>526187.38978732098</v>
      </c>
      <c r="O102" s="505">
        <f t="shared" si="18"/>
        <v>0</v>
      </c>
      <c r="P102" s="505">
        <f t="shared" si="19"/>
        <v>0</v>
      </c>
      <c r="Q102" s="244"/>
      <c r="R102" s="244"/>
      <c r="S102" s="244"/>
      <c r="T102" s="244"/>
      <c r="U102" s="244"/>
    </row>
    <row r="103" spans="1:21">
      <c r="B103" s="145" t="str">
        <f t="shared" si="20"/>
        <v>IU</v>
      </c>
      <c r="C103" s="496">
        <f>IF(D94="","-",+C102+1)</f>
        <v>2016</v>
      </c>
      <c r="D103" s="497">
        <v>4714898.5</v>
      </c>
      <c r="E103" s="499">
        <v>94118.392156862741</v>
      </c>
      <c r="F103" s="506">
        <v>4620780.1078431373</v>
      </c>
      <c r="G103" s="506">
        <v>4667839.3039215691</v>
      </c>
      <c r="H103" s="499">
        <v>599969.61415819218</v>
      </c>
      <c r="I103" s="500">
        <v>599969.61415819218</v>
      </c>
      <c r="J103" s="505">
        <f>+I103-H103</f>
        <v>0</v>
      </c>
      <c r="K103" s="505"/>
      <c r="L103" s="507">
        <f>H103</f>
        <v>599969.61415819218</v>
      </c>
      <c r="M103" s="505">
        <f>IF(L103&lt;&gt;0,+H103-L103,0)</f>
        <v>0</v>
      </c>
      <c r="N103" s="507">
        <f>I103</f>
        <v>599969.61415819218</v>
      </c>
      <c r="O103" s="505">
        <f>IF(N103&lt;&gt;0,+I103-N103,0)</f>
        <v>0</v>
      </c>
      <c r="P103" s="505">
        <f>+O103-M103</f>
        <v>0</v>
      </c>
      <c r="Q103" s="244"/>
      <c r="R103" s="244"/>
      <c r="S103" s="244"/>
      <c r="T103" s="244"/>
      <c r="U103" s="244"/>
    </row>
    <row r="104" spans="1:21">
      <c r="B104" s="145" t="str">
        <f t="shared" si="20"/>
        <v>IU</v>
      </c>
      <c r="C104" s="496">
        <f>IF(D94="","-",+C103+1)</f>
        <v>2017</v>
      </c>
      <c r="D104" s="497">
        <v>4637856.1078431373</v>
      </c>
      <c r="E104" s="499">
        <v>120427.85</v>
      </c>
      <c r="F104" s="506">
        <v>4517428.2578431377</v>
      </c>
      <c r="G104" s="506">
        <v>4577642.1828431375</v>
      </c>
      <c r="H104" s="499">
        <v>657549.4515750818</v>
      </c>
      <c r="I104" s="500">
        <v>657549.4515750818</v>
      </c>
      <c r="J104" s="505">
        <v>0</v>
      </c>
      <c r="K104" s="505"/>
      <c r="L104" s="507">
        <f>H104</f>
        <v>657549.4515750818</v>
      </c>
      <c r="M104" s="505">
        <f>IF(L104&lt;&gt;0,+H104-L104,0)</f>
        <v>0</v>
      </c>
      <c r="N104" s="507">
        <f>I104</f>
        <v>657549.4515750818</v>
      </c>
      <c r="O104" s="505">
        <f>IF(N104&lt;&gt;0,+I104-N104,0)</f>
        <v>0</v>
      </c>
      <c r="P104" s="505">
        <f>+O104-M104</f>
        <v>0</v>
      </c>
      <c r="Q104" s="244"/>
      <c r="R104" s="244"/>
      <c r="S104" s="244"/>
      <c r="T104" s="244"/>
      <c r="U104" s="244"/>
    </row>
    <row r="105" spans="1:21">
      <c r="B105" s="145" t="str">
        <f t="shared" si="20"/>
        <v/>
      </c>
      <c r="C105" s="496">
        <f>IF(D94="","-",+C104+1)</f>
        <v>2018</v>
      </c>
      <c r="D105" s="497">
        <v>4517428.2578431377</v>
      </c>
      <c r="E105" s="499">
        <v>133808.72222222222</v>
      </c>
      <c r="F105" s="506">
        <v>4383619.5356209157</v>
      </c>
      <c r="G105" s="506">
        <v>4450523.8967320267</v>
      </c>
      <c r="H105" s="499">
        <v>603616.92453524831</v>
      </c>
      <c r="I105" s="500">
        <v>603616.92453524831</v>
      </c>
      <c r="J105" s="505">
        <f t="shared" ref="J105:J155" si="21">+I105-H105</f>
        <v>0</v>
      </c>
      <c r="K105" s="505"/>
      <c r="L105" s="507">
        <f>H105</f>
        <v>603616.92453524831</v>
      </c>
      <c r="M105" s="505">
        <f>IF(L105&lt;&gt;0,+H105-L105,0)</f>
        <v>0</v>
      </c>
      <c r="N105" s="507">
        <f>I105</f>
        <v>603616.92453524831</v>
      </c>
      <c r="O105" s="505">
        <f>IF(N105&lt;&gt;0,+I105-N105,0)</f>
        <v>0</v>
      </c>
      <c r="P105" s="505">
        <f>+O105-M105</f>
        <v>0</v>
      </c>
      <c r="Q105" s="244"/>
      <c r="R105" s="244"/>
      <c r="S105" s="244"/>
      <c r="T105" s="244"/>
      <c r="U105" s="244"/>
    </row>
    <row r="106" spans="1:21">
      <c r="B106" s="145" t="str">
        <f t="shared" si="20"/>
        <v>IU</v>
      </c>
      <c r="C106" s="496">
        <f>IF(D94="","-",+C105+1)</f>
        <v>2019</v>
      </c>
      <c r="D106" s="497"/>
      <c r="E106" s="499"/>
      <c r="F106" s="506"/>
      <c r="G106" s="506"/>
      <c r="H106" s="499"/>
      <c r="I106" s="500"/>
      <c r="J106" s="505">
        <f t="shared" si="21"/>
        <v>0</v>
      </c>
      <c r="K106" s="505"/>
      <c r="L106" s="507">
        <f>H106</f>
        <v>0</v>
      </c>
      <c r="M106" s="505">
        <f>IF(L106&lt;&gt;0,+H106-L106,0)</f>
        <v>0</v>
      </c>
      <c r="N106" s="507">
        <f>I106</f>
        <v>0</v>
      </c>
      <c r="O106" s="505">
        <f t="shared" si="18"/>
        <v>0</v>
      </c>
      <c r="P106" s="505">
        <f t="shared" si="19"/>
        <v>0</v>
      </c>
      <c r="Q106" s="244"/>
      <c r="R106" s="244"/>
      <c r="S106" s="244"/>
      <c r="T106" s="244"/>
      <c r="U106" s="244"/>
    </row>
    <row r="107" spans="1:21">
      <c r="B107" s="145" t="str">
        <f t="shared" si="20"/>
        <v/>
      </c>
      <c r="C107" s="496">
        <f>IF(D94="","-",+C106+1)</f>
        <v>2020</v>
      </c>
      <c r="D107" s="350"/>
      <c r="E107" s="629"/>
      <c r="F107" s="511"/>
      <c r="G107" s="511"/>
      <c r="H107" s="646"/>
      <c r="I107" s="630"/>
      <c r="J107" s="505">
        <f t="shared" si="21"/>
        <v>0</v>
      </c>
      <c r="K107" s="505"/>
      <c r="L107" s="513"/>
      <c r="M107" s="505">
        <f t="shared" si="17"/>
        <v>0</v>
      </c>
      <c r="N107" s="513"/>
      <c r="O107" s="505">
        <f t="shared" si="18"/>
        <v>0</v>
      </c>
      <c r="P107" s="505">
        <f t="shared" si="19"/>
        <v>0</v>
      </c>
      <c r="Q107" s="244"/>
      <c r="R107" s="244"/>
      <c r="S107" s="244"/>
      <c r="T107" s="244"/>
      <c r="U107" s="244"/>
    </row>
    <row r="108" spans="1:21">
      <c r="B108" s="145" t="str">
        <f t="shared" si="20"/>
        <v/>
      </c>
      <c r="C108" s="496">
        <f>IF(D94="","-",+C107+1)</f>
        <v>2021</v>
      </c>
      <c r="D108" s="350"/>
      <c r="E108" s="629"/>
      <c r="F108" s="511"/>
      <c r="G108" s="511"/>
      <c r="H108" s="646"/>
      <c r="I108" s="630"/>
      <c r="J108" s="505">
        <f t="shared" si="21"/>
        <v>0</v>
      </c>
      <c r="K108" s="505"/>
      <c r="L108" s="513"/>
      <c r="M108" s="505">
        <f t="shared" si="17"/>
        <v>0</v>
      </c>
      <c r="N108" s="513"/>
      <c r="O108" s="505">
        <f t="shared" si="18"/>
        <v>0</v>
      </c>
      <c r="P108" s="505">
        <f t="shared" si="19"/>
        <v>0</v>
      </c>
      <c r="Q108" s="244"/>
      <c r="R108" s="244"/>
      <c r="S108" s="244"/>
      <c r="T108" s="244"/>
      <c r="U108" s="244"/>
    </row>
    <row r="109" spans="1:21">
      <c r="B109" s="145" t="str">
        <f t="shared" si="20"/>
        <v/>
      </c>
      <c r="C109" s="496">
        <f>IF(D94="","-",+C108+1)</f>
        <v>2022</v>
      </c>
      <c r="D109" s="350"/>
      <c r="E109" s="629"/>
      <c r="F109" s="511"/>
      <c r="G109" s="511"/>
      <c r="H109" s="646"/>
      <c r="I109" s="630"/>
      <c r="J109" s="505">
        <f t="shared" si="21"/>
        <v>0</v>
      </c>
      <c r="K109" s="505"/>
      <c r="L109" s="513"/>
      <c r="M109" s="505">
        <f t="shared" si="17"/>
        <v>0</v>
      </c>
      <c r="N109" s="513"/>
      <c r="O109" s="505">
        <f t="shared" si="18"/>
        <v>0</v>
      </c>
      <c r="P109" s="505">
        <f t="shared" si="19"/>
        <v>0</v>
      </c>
      <c r="Q109" s="244"/>
      <c r="R109" s="244"/>
      <c r="S109" s="244"/>
      <c r="T109" s="244"/>
      <c r="U109" s="244"/>
    </row>
    <row r="110" spans="1:21">
      <c r="B110" s="145" t="str">
        <f t="shared" si="20"/>
        <v/>
      </c>
      <c r="C110" s="496">
        <f>IF(D94="","-",+C109+1)</f>
        <v>2023</v>
      </c>
      <c r="D110" s="350"/>
      <c r="E110" s="629"/>
      <c r="F110" s="511"/>
      <c r="G110" s="511"/>
      <c r="H110" s="646"/>
      <c r="I110" s="630"/>
      <c r="J110" s="505">
        <f t="shared" si="21"/>
        <v>0</v>
      </c>
      <c r="K110" s="505"/>
      <c r="L110" s="513"/>
      <c r="M110" s="505">
        <f t="shared" si="17"/>
        <v>0</v>
      </c>
      <c r="N110" s="513"/>
      <c r="O110" s="505">
        <f t="shared" si="18"/>
        <v>0</v>
      </c>
      <c r="P110" s="505">
        <f t="shared" si="19"/>
        <v>0</v>
      </c>
      <c r="Q110" s="244"/>
      <c r="R110" s="244"/>
      <c r="S110" s="244"/>
      <c r="T110" s="244"/>
      <c r="U110" s="244"/>
    </row>
    <row r="111" spans="1:21">
      <c r="B111" s="145" t="str">
        <f t="shared" si="20"/>
        <v/>
      </c>
      <c r="C111" s="496">
        <f>IF(D94="","-",+C110+1)</f>
        <v>2024</v>
      </c>
      <c r="D111" s="350"/>
      <c r="E111" s="629"/>
      <c r="F111" s="511"/>
      <c r="G111" s="511"/>
      <c r="H111" s="646"/>
      <c r="I111" s="630"/>
      <c r="J111" s="505">
        <f t="shared" si="21"/>
        <v>0</v>
      </c>
      <c r="K111" s="505"/>
      <c r="L111" s="513"/>
      <c r="M111" s="505">
        <f t="shared" si="17"/>
        <v>0</v>
      </c>
      <c r="N111" s="513"/>
      <c r="O111" s="505">
        <f t="shared" si="18"/>
        <v>0</v>
      </c>
      <c r="P111" s="505">
        <f t="shared" si="19"/>
        <v>0</v>
      </c>
      <c r="Q111" s="244"/>
      <c r="R111" s="244"/>
      <c r="S111" s="244"/>
      <c r="T111" s="244"/>
      <c r="U111" s="244"/>
    </row>
    <row r="112" spans="1:21">
      <c r="B112" s="145" t="str">
        <f t="shared" si="20"/>
        <v/>
      </c>
      <c r="C112" s="496">
        <f>IF(D94="","-",+C111+1)</f>
        <v>2025</v>
      </c>
      <c r="D112" s="350"/>
      <c r="E112" s="629"/>
      <c r="F112" s="511"/>
      <c r="G112" s="511"/>
      <c r="H112" s="646"/>
      <c r="I112" s="630"/>
      <c r="J112" s="505">
        <f t="shared" si="21"/>
        <v>0</v>
      </c>
      <c r="K112" s="505"/>
      <c r="L112" s="513"/>
      <c r="M112" s="505">
        <f t="shared" si="17"/>
        <v>0</v>
      </c>
      <c r="N112" s="513"/>
      <c r="O112" s="505">
        <f t="shared" si="18"/>
        <v>0</v>
      </c>
      <c r="P112" s="505">
        <f t="shared" si="19"/>
        <v>0</v>
      </c>
      <c r="Q112" s="244"/>
      <c r="R112" s="244"/>
      <c r="S112" s="244"/>
      <c r="T112" s="244"/>
      <c r="U112" s="244"/>
    </row>
    <row r="113" spans="2:21">
      <c r="B113" s="145" t="str">
        <f t="shared" si="20"/>
        <v/>
      </c>
      <c r="C113" s="496">
        <f>IF(D94="","-",+C112+1)</f>
        <v>2026</v>
      </c>
      <c r="D113" s="350"/>
      <c r="E113" s="629"/>
      <c r="F113" s="511"/>
      <c r="G113" s="511"/>
      <c r="H113" s="646"/>
      <c r="I113" s="630"/>
      <c r="J113" s="505">
        <f t="shared" si="21"/>
        <v>0</v>
      </c>
      <c r="K113" s="505"/>
      <c r="L113" s="513"/>
      <c r="M113" s="505">
        <f t="shared" si="17"/>
        <v>0</v>
      </c>
      <c r="N113" s="513"/>
      <c r="O113" s="505">
        <f t="shared" si="18"/>
        <v>0</v>
      </c>
      <c r="P113" s="505">
        <f t="shared" si="19"/>
        <v>0</v>
      </c>
      <c r="Q113" s="244"/>
      <c r="R113" s="244"/>
      <c r="S113" s="244"/>
      <c r="T113" s="244"/>
      <c r="U113" s="244"/>
    </row>
    <row r="114" spans="2:21">
      <c r="B114" s="145" t="str">
        <f t="shared" si="20"/>
        <v/>
      </c>
      <c r="C114" s="496">
        <f>IF(D94="","-",+C113+1)</f>
        <v>2027</v>
      </c>
      <c r="D114" s="350"/>
      <c r="E114" s="629"/>
      <c r="F114" s="511"/>
      <c r="G114" s="511"/>
      <c r="H114" s="646"/>
      <c r="I114" s="630"/>
      <c r="J114" s="505">
        <f t="shared" si="21"/>
        <v>0</v>
      </c>
      <c r="K114" s="505"/>
      <c r="L114" s="513"/>
      <c r="M114" s="505">
        <f t="shared" si="17"/>
        <v>0</v>
      </c>
      <c r="N114" s="513"/>
      <c r="O114" s="505">
        <f t="shared" si="18"/>
        <v>0</v>
      </c>
      <c r="P114" s="505">
        <f t="shared" si="19"/>
        <v>0</v>
      </c>
      <c r="Q114" s="244"/>
      <c r="R114" s="244"/>
      <c r="S114" s="244"/>
      <c r="T114" s="244"/>
      <c r="U114" s="244"/>
    </row>
    <row r="115" spans="2:21">
      <c r="B115" s="145" t="str">
        <f t="shared" si="20"/>
        <v/>
      </c>
      <c r="C115" s="496">
        <f>IF(D94="","-",+C114+1)</f>
        <v>2028</v>
      </c>
      <c r="D115" s="350"/>
      <c r="E115" s="629"/>
      <c r="F115" s="511"/>
      <c r="G115" s="511"/>
      <c r="H115" s="646"/>
      <c r="I115" s="630"/>
      <c r="J115" s="505">
        <f t="shared" si="21"/>
        <v>0</v>
      </c>
      <c r="K115" s="505"/>
      <c r="L115" s="513"/>
      <c r="M115" s="505">
        <f t="shared" si="17"/>
        <v>0</v>
      </c>
      <c r="N115" s="513"/>
      <c r="O115" s="505">
        <f t="shared" si="18"/>
        <v>0</v>
      </c>
      <c r="P115" s="505">
        <f t="shared" si="19"/>
        <v>0</v>
      </c>
      <c r="Q115" s="244"/>
      <c r="R115" s="244"/>
      <c r="S115" s="244"/>
      <c r="T115" s="244"/>
      <c r="U115" s="244"/>
    </row>
    <row r="116" spans="2:21">
      <c r="B116" s="145" t="str">
        <f t="shared" si="20"/>
        <v/>
      </c>
      <c r="C116" s="496">
        <f>IF(D94="","-",+C115+1)</f>
        <v>2029</v>
      </c>
      <c r="D116" s="350"/>
      <c r="E116" s="629"/>
      <c r="F116" s="511"/>
      <c r="G116" s="511"/>
      <c r="H116" s="646"/>
      <c r="I116" s="630"/>
      <c r="J116" s="505">
        <f t="shared" si="21"/>
        <v>0</v>
      </c>
      <c r="K116" s="505"/>
      <c r="L116" s="513"/>
      <c r="M116" s="505">
        <f t="shared" si="17"/>
        <v>0</v>
      </c>
      <c r="N116" s="513"/>
      <c r="O116" s="505">
        <f t="shared" si="18"/>
        <v>0</v>
      </c>
      <c r="P116" s="505">
        <f t="shared" si="19"/>
        <v>0</v>
      </c>
      <c r="Q116" s="244"/>
      <c r="R116" s="244"/>
      <c r="S116" s="244"/>
      <c r="T116" s="244"/>
      <c r="U116" s="244"/>
    </row>
    <row r="117" spans="2:21">
      <c r="B117" s="145" t="str">
        <f t="shared" si="20"/>
        <v/>
      </c>
      <c r="C117" s="496">
        <f>IF(D94="","-",+C116+1)</f>
        <v>2030</v>
      </c>
      <c r="D117" s="350"/>
      <c r="E117" s="629"/>
      <c r="F117" s="511"/>
      <c r="G117" s="511"/>
      <c r="H117" s="646"/>
      <c r="I117" s="630"/>
      <c r="J117" s="505">
        <f t="shared" si="21"/>
        <v>0</v>
      </c>
      <c r="K117" s="505"/>
      <c r="L117" s="513"/>
      <c r="M117" s="505">
        <f t="shared" si="17"/>
        <v>0</v>
      </c>
      <c r="N117" s="513"/>
      <c r="O117" s="505">
        <f t="shared" si="18"/>
        <v>0</v>
      </c>
      <c r="P117" s="505">
        <f t="shared" si="19"/>
        <v>0</v>
      </c>
      <c r="Q117" s="244"/>
      <c r="R117" s="244"/>
      <c r="S117" s="244"/>
      <c r="T117" s="244"/>
      <c r="U117" s="244"/>
    </row>
    <row r="118" spans="2:21">
      <c r="B118" s="145" t="str">
        <f t="shared" si="20"/>
        <v/>
      </c>
      <c r="C118" s="496">
        <f>IF(D94="","-",+C117+1)</f>
        <v>2031</v>
      </c>
      <c r="D118" s="350"/>
      <c r="E118" s="629"/>
      <c r="F118" s="511"/>
      <c r="G118" s="511"/>
      <c r="H118" s="646"/>
      <c r="I118" s="630"/>
      <c r="J118" s="505">
        <f t="shared" si="21"/>
        <v>0</v>
      </c>
      <c r="K118" s="505"/>
      <c r="L118" s="513"/>
      <c r="M118" s="505">
        <f t="shared" si="17"/>
        <v>0</v>
      </c>
      <c r="N118" s="513"/>
      <c r="O118" s="505">
        <f t="shared" si="18"/>
        <v>0</v>
      </c>
      <c r="P118" s="505">
        <f t="shared" si="19"/>
        <v>0</v>
      </c>
      <c r="Q118" s="244"/>
      <c r="R118" s="244"/>
      <c r="S118" s="244"/>
      <c r="T118" s="244"/>
      <c r="U118" s="244"/>
    </row>
    <row r="119" spans="2:21">
      <c r="B119" s="145" t="str">
        <f t="shared" si="20"/>
        <v/>
      </c>
      <c r="C119" s="496">
        <f>IF(D94="","-",+C118+1)</f>
        <v>2032</v>
      </c>
      <c r="D119" s="350"/>
      <c r="E119" s="629"/>
      <c r="F119" s="511"/>
      <c r="G119" s="511"/>
      <c r="H119" s="646"/>
      <c r="I119" s="630"/>
      <c r="J119" s="505">
        <f t="shared" si="21"/>
        <v>0</v>
      </c>
      <c r="K119" s="505"/>
      <c r="L119" s="513"/>
      <c r="M119" s="505">
        <f t="shared" si="17"/>
        <v>0</v>
      </c>
      <c r="N119" s="513"/>
      <c r="O119" s="505">
        <f t="shared" si="18"/>
        <v>0</v>
      </c>
      <c r="P119" s="505">
        <f t="shared" si="19"/>
        <v>0</v>
      </c>
      <c r="Q119" s="244"/>
      <c r="R119" s="244"/>
      <c r="S119" s="244"/>
      <c r="T119" s="244"/>
      <c r="U119" s="244"/>
    </row>
    <row r="120" spans="2:21">
      <c r="B120" s="145" t="str">
        <f t="shared" si="20"/>
        <v/>
      </c>
      <c r="C120" s="496">
        <f>IF(D94="","-",+C119+1)</f>
        <v>2033</v>
      </c>
      <c r="D120" s="350"/>
      <c r="E120" s="629"/>
      <c r="F120" s="511"/>
      <c r="G120" s="511"/>
      <c r="H120" s="646"/>
      <c r="I120" s="630"/>
      <c r="J120" s="505">
        <f t="shared" si="21"/>
        <v>0</v>
      </c>
      <c r="K120" s="505"/>
      <c r="L120" s="513"/>
      <c r="M120" s="505">
        <f t="shared" si="17"/>
        <v>0</v>
      </c>
      <c r="N120" s="513"/>
      <c r="O120" s="505">
        <f t="shared" si="18"/>
        <v>0</v>
      </c>
      <c r="P120" s="505">
        <f t="shared" si="19"/>
        <v>0</v>
      </c>
      <c r="Q120" s="244"/>
      <c r="R120" s="244"/>
      <c r="S120" s="244"/>
      <c r="T120" s="244"/>
      <c r="U120" s="244"/>
    </row>
    <row r="121" spans="2:21">
      <c r="B121" s="145" t="str">
        <f t="shared" si="20"/>
        <v/>
      </c>
      <c r="C121" s="496">
        <f>IF(D94="","-",+C120+1)</f>
        <v>2034</v>
      </c>
      <c r="D121" s="350"/>
      <c r="E121" s="629"/>
      <c r="F121" s="511"/>
      <c r="G121" s="511"/>
      <c r="H121" s="646"/>
      <c r="I121" s="630"/>
      <c r="J121" s="505">
        <f t="shared" si="21"/>
        <v>0</v>
      </c>
      <c r="K121" s="505"/>
      <c r="L121" s="513"/>
      <c r="M121" s="505">
        <f t="shared" si="17"/>
        <v>0</v>
      </c>
      <c r="N121" s="513"/>
      <c r="O121" s="505">
        <f t="shared" si="18"/>
        <v>0</v>
      </c>
      <c r="P121" s="505">
        <f t="shared" si="19"/>
        <v>0</v>
      </c>
      <c r="Q121" s="244"/>
      <c r="R121" s="244"/>
      <c r="S121" s="244"/>
      <c r="T121" s="244"/>
      <c r="U121" s="244"/>
    </row>
    <row r="122" spans="2:21">
      <c r="B122" s="145" t="str">
        <f t="shared" si="20"/>
        <v/>
      </c>
      <c r="C122" s="496">
        <f>IF(D94="","-",+C121+1)</f>
        <v>2035</v>
      </c>
      <c r="D122" s="350"/>
      <c r="E122" s="629"/>
      <c r="F122" s="511"/>
      <c r="G122" s="511"/>
      <c r="H122" s="646"/>
      <c r="I122" s="630"/>
      <c r="J122" s="505">
        <f t="shared" si="21"/>
        <v>0</v>
      </c>
      <c r="K122" s="505"/>
      <c r="L122" s="513"/>
      <c r="M122" s="505">
        <f t="shared" si="17"/>
        <v>0</v>
      </c>
      <c r="N122" s="513"/>
      <c r="O122" s="505">
        <f t="shared" si="18"/>
        <v>0</v>
      </c>
      <c r="P122" s="505">
        <f t="shared" si="19"/>
        <v>0</v>
      </c>
      <c r="Q122" s="244"/>
      <c r="R122" s="244"/>
      <c r="S122" s="244"/>
      <c r="T122" s="244"/>
      <c r="U122" s="244"/>
    </row>
    <row r="123" spans="2:21">
      <c r="B123" s="145" t="str">
        <f t="shared" si="20"/>
        <v/>
      </c>
      <c r="C123" s="496">
        <f>IF(D94="","-",+C122+1)</f>
        <v>2036</v>
      </c>
      <c r="D123" s="350"/>
      <c r="E123" s="629"/>
      <c r="F123" s="511"/>
      <c r="G123" s="511"/>
      <c r="H123" s="646"/>
      <c r="I123" s="630"/>
      <c r="J123" s="505">
        <f t="shared" si="21"/>
        <v>0</v>
      </c>
      <c r="K123" s="505"/>
      <c r="L123" s="513"/>
      <c r="M123" s="505">
        <f t="shared" si="17"/>
        <v>0</v>
      </c>
      <c r="N123" s="513"/>
      <c r="O123" s="505">
        <f t="shared" si="18"/>
        <v>0</v>
      </c>
      <c r="P123" s="505">
        <f t="shared" si="19"/>
        <v>0</v>
      </c>
      <c r="Q123" s="244"/>
      <c r="R123" s="244"/>
      <c r="S123" s="244"/>
      <c r="T123" s="244"/>
      <c r="U123" s="244"/>
    </row>
    <row r="124" spans="2:21">
      <c r="B124" s="145" t="str">
        <f t="shared" si="20"/>
        <v/>
      </c>
      <c r="C124" s="496">
        <f>IF(D94="","-",+C123+1)</f>
        <v>2037</v>
      </c>
      <c r="D124" s="350"/>
      <c r="E124" s="629"/>
      <c r="F124" s="511"/>
      <c r="G124" s="511"/>
      <c r="H124" s="646"/>
      <c r="I124" s="630"/>
      <c r="J124" s="505">
        <f t="shared" si="21"/>
        <v>0</v>
      </c>
      <c r="K124" s="505"/>
      <c r="L124" s="513"/>
      <c r="M124" s="505">
        <f t="shared" si="17"/>
        <v>0</v>
      </c>
      <c r="N124" s="513"/>
      <c r="O124" s="505">
        <f t="shared" si="18"/>
        <v>0</v>
      </c>
      <c r="P124" s="505">
        <f t="shared" si="19"/>
        <v>0</v>
      </c>
      <c r="Q124" s="244"/>
      <c r="R124" s="244"/>
      <c r="S124" s="244"/>
      <c r="T124" s="244"/>
      <c r="U124" s="244"/>
    </row>
    <row r="125" spans="2:21">
      <c r="B125" s="145" t="str">
        <f t="shared" si="20"/>
        <v/>
      </c>
      <c r="C125" s="496">
        <f>IF(D94="","-",+C124+1)</f>
        <v>2038</v>
      </c>
      <c r="D125" s="350"/>
      <c r="E125" s="629"/>
      <c r="F125" s="511"/>
      <c r="G125" s="511"/>
      <c r="H125" s="646"/>
      <c r="I125" s="630"/>
      <c r="J125" s="505">
        <f t="shared" si="21"/>
        <v>0</v>
      </c>
      <c r="K125" s="505"/>
      <c r="L125" s="513"/>
      <c r="M125" s="505">
        <f t="shared" si="17"/>
        <v>0</v>
      </c>
      <c r="N125" s="513"/>
      <c r="O125" s="505">
        <f t="shared" si="18"/>
        <v>0</v>
      </c>
      <c r="P125" s="505">
        <f t="shared" si="19"/>
        <v>0</v>
      </c>
      <c r="Q125" s="244"/>
      <c r="R125" s="244"/>
      <c r="S125" s="244"/>
      <c r="T125" s="244"/>
      <c r="U125" s="244"/>
    </row>
    <row r="126" spans="2:21">
      <c r="B126" s="145" t="str">
        <f t="shared" si="20"/>
        <v/>
      </c>
      <c r="C126" s="496">
        <f>IF(D94="","-",+C125+1)</f>
        <v>2039</v>
      </c>
      <c r="D126" s="350"/>
      <c r="E126" s="629"/>
      <c r="F126" s="511"/>
      <c r="G126" s="511"/>
      <c r="H126" s="646"/>
      <c r="I126" s="630"/>
      <c r="J126" s="505">
        <f t="shared" si="21"/>
        <v>0</v>
      </c>
      <c r="K126" s="505"/>
      <c r="L126" s="513"/>
      <c r="M126" s="505">
        <f t="shared" si="17"/>
        <v>0</v>
      </c>
      <c r="N126" s="513"/>
      <c r="O126" s="505">
        <f t="shared" si="18"/>
        <v>0</v>
      </c>
      <c r="P126" s="505">
        <f t="shared" si="19"/>
        <v>0</v>
      </c>
      <c r="Q126" s="244"/>
      <c r="R126" s="244"/>
      <c r="S126" s="244"/>
      <c r="T126" s="244"/>
      <c r="U126" s="244"/>
    </row>
    <row r="127" spans="2:21">
      <c r="B127" s="145" t="str">
        <f t="shared" si="20"/>
        <v/>
      </c>
      <c r="C127" s="496">
        <f>IF(D94="","-",+C126+1)</f>
        <v>2040</v>
      </c>
      <c r="D127" s="350"/>
      <c r="E127" s="629"/>
      <c r="F127" s="511"/>
      <c r="G127" s="511"/>
      <c r="H127" s="646"/>
      <c r="I127" s="630"/>
      <c r="J127" s="505">
        <f t="shared" si="21"/>
        <v>0</v>
      </c>
      <c r="K127" s="505"/>
      <c r="L127" s="513"/>
      <c r="M127" s="505">
        <f t="shared" si="17"/>
        <v>0</v>
      </c>
      <c r="N127" s="513"/>
      <c r="O127" s="505">
        <f t="shared" si="18"/>
        <v>0</v>
      </c>
      <c r="P127" s="505">
        <f t="shared" si="19"/>
        <v>0</v>
      </c>
      <c r="Q127" s="244"/>
      <c r="R127" s="244"/>
      <c r="S127" s="244"/>
      <c r="T127" s="244"/>
      <c r="U127" s="244"/>
    </row>
    <row r="128" spans="2:21">
      <c r="B128" s="145" t="str">
        <f t="shared" si="20"/>
        <v/>
      </c>
      <c r="C128" s="496">
        <f>IF(D94="","-",+C127+1)</f>
        <v>2041</v>
      </c>
      <c r="D128" s="350"/>
      <c r="E128" s="629"/>
      <c r="F128" s="511"/>
      <c r="G128" s="511"/>
      <c r="H128" s="646"/>
      <c r="I128" s="630"/>
      <c r="J128" s="505">
        <f t="shared" si="21"/>
        <v>0</v>
      </c>
      <c r="K128" s="505"/>
      <c r="L128" s="513"/>
      <c r="M128" s="505">
        <f t="shared" si="17"/>
        <v>0</v>
      </c>
      <c r="N128" s="513"/>
      <c r="O128" s="505">
        <f t="shared" si="18"/>
        <v>0</v>
      </c>
      <c r="P128" s="505">
        <f t="shared" si="19"/>
        <v>0</v>
      </c>
      <c r="Q128" s="244"/>
      <c r="R128" s="244"/>
      <c r="S128" s="244"/>
      <c r="T128" s="244"/>
      <c r="U128" s="244"/>
    </row>
    <row r="129" spans="2:21">
      <c r="B129" s="145" t="str">
        <f t="shared" si="20"/>
        <v/>
      </c>
      <c r="C129" s="496">
        <f>IF(D94="","-",+C128+1)</f>
        <v>2042</v>
      </c>
      <c r="D129" s="350"/>
      <c r="E129" s="629"/>
      <c r="F129" s="511"/>
      <c r="G129" s="511"/>
      <c r="H129" s="646"/>
      <c r="I129" s="630"/>
      <c r="J129" s="505">
        <f t="shared" si="21"/>
        <v>0</v>
      </c>
      <c r="K129" s="505"/>
      <c r="L129" s="513"/>
      <c r="M129" s="505">
        <f t="shared" si="17"/>
        <v>0</v>
      </c>
      <c r="N129" s="513"/>
      <c r="O129" s="505">
        <f t="shared" si="18"/>
        <v>0</v>
      </c>
      <c r="P129" s="505">
        <f t="shared" si="19"/>
        <v>0</v>
      </c>
      <c r="Q129" s="244"/>
      <c r="R129" s="244"/>
      <c r="S129" s="244"/>
      <c r="T129" s="244"/>
      <c r="U129" s="244"/>
    </row>
    <row r="130" spans="2:21">
      <c r="B130" s="145" t="str">
        <f t="shared" si="20"/>
        <v/>
      </c>
      <c r="C130" s="496">
        <f>IF(D94="","-",+C129+1)</f>
        <v>2043</v>
      </c>
      <c r="D130" s="350"/>
      <c r="E130" s="629"/>
      <c r="F130" s="511"/>
      <c r="G130" s="511"/>
      <c r="H130" s="646"/>
      <c r="I130" s="630"/>
      <c r="J130" s="505">
        <f t="shared" si="21"/>
        <v>0</v>
      </c>
      <c r="K130" s="505"/>
      <c r="L130" s="513"/>
      <c r="M130" s="505">
        <f t="shared" si="17"/>
        <v>0</v>
      </c>
      <c r="N130" s="513"/>
      <c r="O130" s="505">
        <f t="shared" si="18"/>
        <v>0</v>
      </c>
      <c r="P130" s="505">
        <f t="shared" si="19"/>
        <v>0</v>
      </c>
      <c r="Q130" s="244"/>
      <c r="R130" s="244"/>
      <c r="S130" s="244"/>
      <c r="T130" s="244"/>
      <c r="U130" s="244"/>
    </row>
    <row r="131" spans="2:21">
      <c r="B131" s="145" t="str">
        <f t="shared" si="20"/>
        <v/>
      </c>
      <c r="C131" s="496">
        <f>IF(D94="","-",+C130+1)</f>
        <v>2044</v>
      </c>
      <c r="D131" s="350"/>
      <c r="E131" s="629"/>
      <c r="F131" s="511"/>
      <c r="G131" s="511"/>
      <c r="H131" s="646"/>
      <c r="I131" s="630"/>
      <c r="J131" s="505">
        <f t="shared" si="21"/>
        <v>0</v>
      </c>
      <c r="K131" s="505"/>
      <c r="L131" s="513"/>
      <c r="M131" s="505">
        <f t="shared" si="17"/>
        <v>0</v>
      </c>
      <c r="N131" s="513"/>
      <c r="O131" s="505">
        <f t="shared" si="18"/>
        <v>0</v>
      </c>
      <c r="P131" s="505">
        <f t="shared" si="19"/>
        <v>0</v>
      </c>
      <c r="Q131" s="244"/>
      <c r="R131" s="244"/>
      <c r="S131" s="244"/>
      <c r="T131" s="244"/>
      <c r="U131" s="244"/>
    </row>
    <row r="132" spans="2:21">
      <c r="B132" s="145" t="str">
        <f t="shared" si="20"/>
        <v/>
      </c>
      <c r="C132" s="496">
        <f>IF(D94="","-",+C131+1)</f>
        <v>2045</v>
      </c>
      <c r="D132" s="350"/>
      <c r="E132" s="629"/>
      <c r="F132" s="511"/>
      <c r="G132" s="511"/>
      <c r="H132" s="646"/>
      <c r="I132" s="630"/>
      <c r="J132" s="505">
        <f t="shared" si="21"/>
        <v>0</v>
      </c>
      <c r="K132" s="505"/>
      <c r="L132" s="513"/>
      <c r="M132" s="505">
        <f t="shared" ref="M132:M155" si="22">IF(L542&lt;&gt;0,+H542-L542,0)</f>
        <v>0</v>
      </c>
      <c r="N132" s="513"/>
      <c r="O132" s="505">
        <f t="shared" ref="O132:O155" si="23">IF(N542&lt;&gt;0,+I542-N542,0)</f>
        <v>0</v>
      </c>
      <c r="P132" s="505">
        <f t="shared" ref="P132:P155" si="24">+O542-M542</f>
        <v>0</v>
      </c>
      <c r="Q132" s="244"/>
      <c r="R132" s="244"/>
      <c r="S132" s="244"/>
      <c r="T132" s="244"/>
      <c r="U132" s="244"/>
    </row>
    <row r="133" spans="2:21">
      <c r="B133" s="145" t="str">
        <f t="shared" si="20"/>
        <v/>
      </c>
      <c r="C133" s="496">
        <f>IF(D94="","-",+C132+1)</f>
        <v>2046</v>
      </c>
      <c r="D133" s="350"/>
      <c r="E133" s="629"/>
      <c r="F133" s="511"/>
      <c r="G133" s="511"/>
      <c r="H133" s="646"/>
      <c r="I133" s="630"/>
      <c r="J133" s="505">
        <f t="shared" si="21"/>
        <v>0</v>
      </c>
      <c r="K133" s="505"/>
      <c r="L133" s="513"/>
      <c r="M133" s="505">
        <f t="shared" si="22"/>
        <v>0</v>
      </c>
      <c r="N133" s="513"/>
      <c r="O133" s="505">
        <f t="shared" si="23"/>
        <v>0</v>
      </c>
      <c r="P133" s="505">
        <f t="shared" si="24"/>
        <v>0</v>
      </c>
      <c r="Q133" s="244"/>
      <c r="R133" s="244"/>
      <c r="S133" s="244"/>
      <c r="T133" s="244"/>
      <c r="U133" s="244"/>
    </row>
    <row r="134" spans="2:21">
      <c r="B134" s="145" t="str">
        <f t="shared" si="20"/>
        <v/>
      </c>
      <c r="C134" s="496">
        <f>IF(D94="","-",+C133+1)</f>
        <v>2047</v>
      </c>
      <c r="D134" s="350"/>
      <c r="E134" s="629"/>
      <c r="F134" s="511"/>
      <c r="G134" s="511"/>
      <c r="H134" s="646"/>
      <c r="I134" s="630"/>
      <c r="J134" s="505">
        <f t="shared" si="21"/>
        <v>0</v>
      </c>
      <c r="K134" s="505"/>
      <c r="L134" s="513"/>
      <c r="M134" s="505">
        <f t="shared" si="22"/>
        <v>0</v>
      </c>
      <c r="N134" s="513"/>
      <c r="O134" s="505">
        <f t="shared" si="23"/>
        <v>0</v>
      </c>
      <c r="P134" s="505">
        <f t="shared" si="24"/>
        <v>0</v>
      </c>
      <c r="Q134" s="244"/>
      <c r="R134" s="244"/>
      <c r="S134" s="244"/>
      <c r="T134" s="244"/>
      <c r="U134" s="244"/>
    </row>
    <row r="135" spans="2:21">
      <c r="B135" s="145" t="str">
        <f t="shared" si="20"/>
        <v/>
      </c>
      <c r="C135" s="496">
        <f>IF(D94="","-",+C134+1)</f>
        <v>2048</v>
      </c>
      <c r="D135" s="350"/>
      <c r="E135" s="629"/>
      <c r="F135" s="511"/>
      <c r="G135" s="511"/>
      <c r="H135" s="646"/>
      <c r="I135" s="630"/>
      <c r="J135" s="505">
        <f t="shared" si="21"/>
        <v>0</v>
      </c>
      <c r="K135" s="505"/>
      <c r="L135" s="513"/>
      <c r="M135" s="505">
        <f t="shared" si="22"/>
        <v>0</v>
      </c>
      <c r="N135" s="513"/>
      <c r="O135" s="505">
        <f t="shared" si="23"/>
        <v>0</v>
      </c>
      <c r="P135" s="505">
        <f t="shared" si="24"/>
        <v>0</v>
      </c>
      <c r="Q135" s="244"/>
      <c r="R135" s="244"/>
      <c r="S135" s="244"/>
      <c r="T135" s="244"/>
      <c r="U135" s="244"/>
    </row>
    <row r="136" spans="2:21">
      <c r="B136" s="145" t="str">
        <f t="shared" si="20"/>
        <v/>
      </c>
      <c r="C136" s="496">
        <f>IF(D94="","-",+C135+1)</f>
        <v>2049</v>
      </c>
      <c r="D136" s="350"/>
      <c r="E136" s="629"/>
      <c r="F136" s="511"/>
      <c r="G136" s="511"/>
      <c r="H136" s="646"/>
      <c r="I136" s="630"/>
      <c r="J136" s="505">
        <f t="shared" si="21"/>
        <v>0</v>
      </c>
      <c r="K136" s="505"/>
      <c r="L136" s="513"/>
      <c r="M136" s="505">
        <f t="shared" si="22"/>
        <v>0</v>
      </c>
      <c r="N136" s="513"/>
      <c r="O136" s="505">
        <f t="shared" si="23"/>
        <v>0</v>
      </c>
      <c r="P136" s="505">
        <f t="shared" si="24"/>
        <v>0</v>
      </c>
      <c r="Q136" s="244"/>
      <c r="R136" s="244"/>
      <c r="S136" s="244"/>
      <c r="T136" s="244"/>
      <c r="U136" s="244"/>
    </row>
    <row r="137" spans="2:21">
      <c r="B137" s="145" t="str">
        <f t="shared" si="20"/>
        <v/>
      </c>
      <c r="C137" s="496">
        <f>IF(D94="","-",+C136+1)</f>
        <v>2050</v>
      </c>
      <c r="D137" s="350"/>
      <c r="E137" s="629"/>
      <c r="F137" s="511"/>
      <c r="G137" s="511"/>
      <c r="H137" s="646"/>
      <c r="I137" s="630"/>
      <c r="J137" s="505">
        <f t="shared" si="21"/>
        <v>0</v>
      </c>
      <c r="K137" s="505"/>
      <c r="L137" s="513"/>
      <c r="M137" s="505">
        <f t="shared" si="22"/>
        <v>0</v>
      </c>
      <c r="N137" s="513"/>
      <c r="O137" s="505">
        <f t="shared" si="23"/>
        <v>0</v>
      </c>
      <c r="P137" s="505">
        <f t="shared" si="24"/>
        <v>0</v>
      </c>
      <c r="Q137" s="244"/>
      <c r="R137" s="244"/>
      <c r="S137" s="244"/>
      <c r="T137" s="244"/>
      <c r="U137" s="244"/>
    </row>
    <row r="138" spans="2:21">
      <c r="B138" s="145" t="str">
        <f t="shared" si="20"/>
        <v/>
      </c>
      <c r="C138" s="496">
        <f>IF(D94="","-",+C137+1)</f>
        <v>2051</v>
      </c>
      <c r="D138" s="350"/>
      <c r="E138" s="629"/>
      <c r="F138" s="511"/>
      <c r="G138" s="511"/>
      <c r="H138" s="646"/>
      <c r="I138" s="630"/>
      <c r="J138" s="505">
        <f t="shared" si="21"/>
        <v>0</v>
      </c>
      <c r="K138" s="505"/>
      <c r="L138" s="513"/>
      <c r="M138" s="505">
        <f t="shared" si="22"/>
        <v>0</v>
      </c>
      <c r="N138" s="513"/>
      <c r="O138" s="505">
        <f t="shared" si="23"/>
        <v>0</v>
      </c>
      <c r="P138" s="505">
        <f t="shared" si="24"/>
        <v>0</v>
      </c>
      <c r="Q138" s="244"/>
      <c r="R138" s="244"/>
      <c r="S138" s="244"/>
      <c r="T138" s="244"/>
      <c r="U138" s="244"/>
    </row>
    <row r="139" spans="2:21">
      <c r="B139" s="145" t="str">
        <f t="shared" si="20"/>
        <v/>
      </c>
      <c r="C139" s="496">
        <f>IF(D94="","-",+C138+1)</f>
        <v>2052</v>
      </c>
      <c r="D139" s="350"/>
      <c r="E139" s="629"/>
      <c r="F139" s="511"/>
      <c r="G139" s="511"/>
      <c r="H139" s="646"/>
      <c r="I139" s="630"/>
      <c r="J139" s="505">
        <f t="shared" si="21"/>
        <v>0</v>
      </c>
      <c r="K139" s="505"/>
      <c r="L139" s="513"/>
      <c r="M139" s="505">
        <f t="shared" si="22"/>
        <v>0</v>
      </c>
      <c r="N139" s="513"/>
      <c r="O139" s="505">
        <f t="shared" si="23"/>
        <v>0</v>
      </c>
      <c r="P139" s="505">
        <f t="shared" si="24"/>
        <v>0</v>
      </c>
      <c r="Q139" s="244"/>
      <c r="R139" s="244"/>
      <c r="S139" s="244"/>
      <c r="T139" s="244"/>
      <c r="U139" s="244"/>
    </row>
    <row r="140" spans="2:21">
      <c r="B140" s="145" t="str">
        <f t="shared" si="20"/>
        <v/>
      </c>
      <c r="C140" s="496">
        <f>IF(D94="","-",+C139+1)</f>
        <v>2053</v>
      </c>
      <c r="D140" s="350"/>
      <c r="E140" s="629"/>
      <c r="F140" s="511"/>
      <c r="G140" s="511"/>
      <c r="H140" s="646"/>
      <c r="I140" s="630"/>
      <c r="J140" s="505">
        <f t="shared" si="21"/>
        <v>0</v>
      </c>
      <c r="K140" s="505"/>
      <c r="L140" s="513"/>
      <c r="M140" s="505">
        <f t="shared" si="22"/>
        <v>0</v>
      </c>
      <c r="N140" s="513"/>
      <c r="O140" s="505">
        <f t="shared" si="23"/>
        <v>0</v>
      </c>
      <c r="P140" s="505">
        <f t="shared" si="24"/>
        <v>0</v>
      </c>
      <c r="Q140" s="244"/>
      <c r="R140" s="244"/>
      <c r="S140" s="244"/>
      <c r="T140" s="244"/>
      <c r="U140" s="244"/>
    </row>
    <row r="141" spans="2:21">
      <c r="B141" s="145" t="str">
        <f t="shared" si="20"/>
        <v/>
      </c>
      <c r="C141" s="496">
        <f>IF(D94="","-",+C140+1)</f>
        <v>2054</v>
      </c>
      <c r="D141" s="350"/>
      <c r="E141" s="629"/>
      <c r="F141" s="511"/>
      <c r="G141" s="511"/>
      <c r="H141" s="646"/>
      <c r="I141" s="630"/>
      <c r="J141" s="505">
        <f t="shared" si="21"/>
        <v>0</v>
      </c>
      <c r="K141" s="505"/>
      <c r="L141" s="513"/>
      <c r="M141" s="505">
        <f t="shared" si="22"/>
        <v>0</v>
      </c>
      <c r="N141" s="513"/>
      <c r="O141" s="505">
        <f t="shared" si="23"/>
        <v>0</v>
      </c>
      <c r="P141" s="505">
        <f t="shared" si="24"/>
        <v>0</v>
      </c>
      <c r="Q141" s="244"/>
      <c r="R141" s="244"/>
      <c r="S141" s="244"/>
      <c r="T141" s="244"/>
      <c r="U141" s="244"/>
    </row>
    <row r="142" spans="2:21">
      <c r="B142" s="145" t="str">
        <f t="shared" si="20"/>
        <v/>
      </c>
      <c r="C142" s="496">
        <f>IF(D94="","-",+C141+1)</f>
        <v>2055</v>
      </c>
      <c r="D142" s="350"/>
      <c r="E142" s="629"/>
      <c r="F142" s="511"/>
      <c r="G142" s="511"/>
      <c r="H142" s="646"/>
      <c r="I142" s="630"/>
      <c r="J142" s="505">
        <f t="shared" si="21"/>
        <v>0</v>
      </c>
      <c r="K142" s="505"/>
      <c r="L142" s="513"/>
      <c r="M142" s="505">
        <f t="shared" si="22"/>
        <v>0</v>
      </c>
      <c r="N142" s="513"/>
      <c r="O142" s="505">
        <f t="shared" si="23"/>
        <v>0</v>
      </c>
      <c r="P142" s="505">
        <f t="shared" si="24"/>
        <v>0</v>
      </c>
      <c r="Q142" s="244"/>
      <c r="R142" s="244"/>
      <c r="S142" s="244"/>
      <c r="T142" s="244"/>
      <c r="U142" s="244"/>
    </row>
    <row r="143" spans="2:21">
      <c r="B143" s="145" t="str">
        <f t="shared" si="20"/>
        <v/>
      </c>
      <c r="C143" s="496">
        <f>IF(D94="","-",+C142+1)</f>
        <v>2056</v>
      </c>
      <c r="D143" s="350"/>
      <c r="E143" s="629"/>
      <c r="F143" s="511"/>
      <c r="G143" s="511"/>
      <c r="H143" s="646"/>
      <c r="I143" s="630"/>
      <c r="J143" s="505">
        <f t="shared" si="21"/>
        <v>0</v>
      </c>
      <c r="K143" s="505"/>
      <c r="L143" s="513"/>
      <c r="M143" s="505">
        <f t="shared" si="22"/>
        <v>0</v>
      </c>
      <c r="N143" s="513"/>
      <c r="O143" s="505">
        <f t="shared" si="23"/>
        <v>0</v>
      </c>
      <c r="P143" s="505">
        <f t="shared" si="24"/>
        <v>0</v>
      </c>
      <c r="Q143" s="244"/>
      <c r="R143" s="244"/>
      <c r="S143" s="244"/>
      <c r="T143" s="244"/>
      <c r="U143" s="244"/>
    </row>
    <row r="144" spans="2:21">
      <c r="B144" s="145" t="str">
        <f t="shared" si="20"/>
        <v/>
      </c>
      <c r="C144" s="496">
        <f>IF(D94="","-",+C143+1)</f>
        <v>2057</v>
      </c>
      <c r="D144" s="350"/>
      <c r="E144" s="629"/>
      <c r="F144" s="511"/>
      <c r="G144" s="511"/>
      <c r="H144" s="646"/>
      <c r="I144" s="630"/>
      <c r="J144" s="505">
        <f t="shared" si="21"/>
        <v>0</v>
      </c>
      <c r="K144" s="505"/>
      <c r="L144" s="513"/>
      <c r="M144" s="505">
        <f t="shared" si="22"/>
        <v>0</v>
      </c>
      <c r="N144" s="513"/>
      <c r="O144" s="505">
        <f t="shared" si="23"/>
        <v>0</v>
      </c>
      <c r="P144" s="505">
        <f t="shared" si="24"/>
        <v>0</v>
      </c>
      <c r="Q144" s="244"/>
      <c r="R144" s="244"/>
      <c r="S144" s="244"/>
      <c r="T144" s="244"/>
      <c r="U144" s="244"/>
    </row>
    <row r="145" spans="2:21">
      <c r="B145" s="145" t="str">
        <f t="shared" si="20"/>
        <v/>
      </c>
      <c r="C145" s="496">
        <f>IF(D94="","-",+C144+1)</f>
        <v>2058</v>
      </c>
      <c r="D145" s="350"/>
      <c r="E145" s="629"/>
      <c r="F145" s="511"/>
      <c r="G145" s="511"/>
      <c r="H145" s="646"/>
      <c r="I145" s="630"/>
      <c r="J145" s="505">
        <f t="shared" si="21"/>
        <v>0</v>
      </c>
      <c r="K145" s="505"/>
      <c r="L145" s="513"/>
      <c r="M145" s="505">
        <f t="shared" si="22"/>
        <v>0</v>
      </c>
      <c r="N145" s="513"/>
      <c r="O145" s="505">
        <f t="shared" si="23"/>
        <v>0</v>
      </c>
      <c r="P145" s="505">
        <f t="shared" si="24"/>
        <v>0</v>
      </c>
      <c r="Q145" s="244"/>
      <c r="R145" s="244"/>
      <c r="S145" s="244"/>
      <c r="T145" s="244"/>
      <c r="U145" s="244"/>
    </row>
    <row r="146" spans="2:21">
      <c r="B146" s="145" t="str">
        <f t="shared" si="20"/>
        <v/>
      </c>
      <c r="C146" s="496">
        <f>IF(D94="","-",+C145+1)</f>
        <v>2059</v>
      </c>
      <c r="D146" s="350"/>
      <c r="E146" s="629"/>
      <c r="F146" s="511"/>
      <c r="G146" s="511"/>
      <c r="H146" s="646"/>
      <c r="I146" s="630"/>
      <c r="J146" s="505">
        <f t="shared" si="21"/>
        <v>0</v>
      </c>
      <c r="K146" s="505"/>
      <c r="L146" s="513"/>
      <c r="M146" s="505">
        <f t="shared" si="22"/>
        <v>0</v>
      </c>
      <c r="N146" s="513"/>
      <c r="O146" s="505">
        <f t="shared" si="23"/>
        <v>0</v>
      </c>
      <c r="P146" s="505">
        <f t="shared" si="24"/>
        <v>0</v>
      </c>
      <c r="Q146" s="244"/>
      <c r="R146" s="244"/>
      <c r="S146" s="244"/>
      <c r="T146" s="244"/>
      <c r="U146" s="244"/>
    </row>
    <row r="147" spans="2:21">
      <c r="B147" s="145" t="str">
        <f t="shared" si="20"/>
        <v/>
      </c>
      <c r="C147" s="496">
        <f>IF(D94="","-",+C146+1)</f>
        <v>2060</v>
      </c>
      <c r="D147" s="350"/>
      <c r="E147" s="629"/>
      <c r="F147" s="511"/>
      <c r="G147" s="511"/>
      <c r="H147" s="646"/>
      <c r="I147" s="630"/>
      <c r="J147" s="505">
        <f t="shared" si="21"/>
        <v>0</v>
      </c>
      <c r="K147" s="505"/>
      <c r="L147" s="513"/>
      <c r="M147" s="505">
        <f t="shared" si="22"/>
        <v>0</v>
      </c>
      <c r="N147" s="513"/>
      <c r="O147" s="505">
        <f t="shared" si="23"/>
        <v>0</v>
      </c>
      <c r="P147" s="505">
        <f t="shared" si="24"/>
        <v>0</v>
      </c>
      <c r="Q147" s="244"/>
      <c r="R147" s="244"/>
      <c r="S147" s="244"/>
      <c r="T147" s="244"/>
      <c r="U147" s="244"/>
    </row>
    <row r="148" spans="2:21">
      <c r="B148" s="145" t="str">
        <f t="shared" si="20"/>
        <v/>
      </c>
      <c r="C148" s="496">
        <f>IF(D94="","-",+C147+1)</f>
        <v>2061</v>
      </c>
      <c r="D148" s="350"/>
      <c r="E148" s="629"/>
      <c r="F148" s="511"/>
      <c r="G148" s="511"/>
      <c r="H148" s="646"/>
      <c r="I148" s="630"/>
      <c r="J148" s="505">
        <f t="shared" si="21"/>
        <v>0</v>
      </c>
      <c r="K148" s="505"/>
      <c r="L148" s="513"/>
      <c r="M148" s="505">
        <f t="shared" si="22"/>
        <v>0</v>
      </c>
      <c r="N148" s="513"/>
      <c r="O148" s="505">
        <f t="shared" si="23"/>
        <v>0</v>
      </c>
      <c r="P148" s="505">
        <f t="shared" si="24"/>
        <v>0</v>
      </c>
      <c r="Q148" s="244"/>
      <c r="R148" s="244"/>
      <c r="S148" s="244"/>
      <c r="T148" s="244"/>
      <c r="U148" s="244"/>
    </row>
    <row r="149" spans="2:21">
      <c r="B149" s="145" t="str">
        <f t="shared" si="20"/>
        <v/>
      </c>
      <c r="C149" s="496">
        <f>IF(D94="","-",+C148+1)</f>
        <v>2062</v>
      </c>
      <c r="D149" s="350"/>
      <c r="E149" s="629"/>
      <c r="F149" s="511"/>
      <c r="G149" s="511"/>
      <c r="H149" s="646"/>
      <c r="I149" s="630"/>
      <c r="J149" s="505">
        <f t="shared" si="21"/>
        <v>0</v>
      </c>
      <c r="K149" s="505"/>
      <c r="L149" s="513"/>
      <c r="M149" s="505">
        <f t="shared" si="22"/>
        <v>0</v>
      </c>
      <c r="N149" s="513"/>
      <c r="O149" s="505">
        <f t="shared" si="23"/>
        <v>0</v>
      </c>
      <c r="P149" s="505">
        <f t="shared" si="24"/>
        <v>0</v>
      </c>
      <c r="Q149" s="244"/>
      <c r="R149" s="244"/>
      <c r="S149" s="244"/>
      <c r="T149" s="244"/>
      <c r="U149" s="244"/>
    </row>
    <row r="150" spans="2:21">
      <c r="B150" s="145" t="str">
        <f t="shared" si="20"/>
        <v/>
      </c>
      <c r="C150" s="496">
        <f>IF(D94="","-",+C149+1)</f>
        <v>2063</v>
      </c>
      <c r="D150" s="350"/>
      <c r="E150" s="629"/>
      <c r="F150" s="511"/>
      <c r="G150" s="511"/>
      <c r="H150" s="646"/>
      <c r="I150" s="630"/>
      <c r="J150" s="505">
        <f t="shared" si="21"/>
        <v>0</v>
      </c>
      <c r="K150" s="505"/>
      <c r="L150" s="513"/>
      <c r="M150" s="505">
        <f t="shared" si="22"/>
        <v>0</v>
      </c>
      <c r="N150" s="513"/>
      <c r="O150" s="505">
        <f t="shared" si="23"/>
        <v>0</v>
      </c>
      <c r="P150" s="505">
        <f t="shared" si="24"/>
        <v>0</v>
      </c>
      <c r="Q150" s="244"/>
      <c r="R150" s="244"/>
      <c r="S150" s="244"/>
      <c r="T150" s="244"/>
      <c r="U150" s="244"/>
    </row>
    <row r="151" spans="2:21">
      <c r="B151" s="145" t="str">
        <f t="shared" si="20"/>
        <v/>
      </c>
      <c r="C151" s="496">
        <f>IF(D94="","-",+C150+1)</f>
        <v>2064</v>
      </c>
      <c r="D151" s="350"/>
      <c r="E151" s="629"/>
      <c r="F151" s="511"/>
      <c r="G151" s="511"/>
      <c r="H151" s="646"/>
      <c r="I151" s="630"/>
      <c r="J151" s="505">
        <f t="shared" si="21"/>
        <v>0</v>
      </c>
      <c r="K151" s="505"/>
      <c r="L151" s="513"/>
      <c r="M151" s="505">
        <f t="shared" si="22"/>
        <v>0</v>
      </c>
      <c r="N151" s="513"/>
      <c r="O151" s="505">
        <f t="shared" si="23"/>
        <v>0</v>
      </c>
      <c r="P151" s="505">
        <f t="shared" si="24"/>
        <v>0</v>
      </c>
      <c r="Q151" s="244"/>
      <c r="R151" s="244"/>
      <c r="S151" s="244"/>
      <c r="T151" s="244"/>
      <c r="U151" s="244"/>
    </row>
    <row r="152" spans="2:21">
      <c r="B152" s="145" t="str">
        <f t="shared" si="20"/>
        <v/>
      </c>
      <c r="C152" s="496">
        <f>IF(D94="","-",+C151+1)</f>
        <v>2065</v>
      </c>
      <c r="D152" s="350"/>
      <c r="E152" s="629"/>
      <c r="F152" s="511"/>
      <c r="G152" s="511"/>
      <c r="H152" s="646"/>
      <c r="I152" s="630"/>
      <c r="J152" s="505">
        <f t="shared" si="21"/>
        <v>0</v>
      </c>
      <c r="K152" s="505"/>
      <c r="L152" s="513"/>
      <c r="M152" s="505">
        <f t="shared" si="22"/>
        <v>0</v>
      </c>
      <c r="N152" s="513"/>
      <c r="O152" s="505">
        <f t="shared" si="23"/>
        <v>0</v>
      </c>
      <c r="P152" s="505">
        <f t="shared" si="24"/>
        <v>0</v>
      </c>
      <c r="Q152" s="244"/>
      <c r="R152" s="244"/>
      <c r="S152" s="244"/>
      <c r="T152" s="244"/>
      <c r="U152" s="244"/>
    </row>
    <row r="153" spans="2:21">
      <c r="B153" s="145" t="str">
        <f t="shared" si="20"/>
        <v/>
      </c>
      <c r="C153" s="496">
        <f>IF(D94="","-",+C152+1)</f>
        <v>2066</v>
      </c>
      <c r="D153" s="350"/>
      <c r="E153" s="629"/>
      <c r="F153" s="511"/>
      <c r="G153" s="511"/>
      <c r="H153" s="646"/>
      <c r="I153" s="630"/>
      <c r="J153" s="505">
        <f t="shared" si="21"/>
        <v>0</v>
      </c>
      <c r="K153" s="505"/>
      <c r="L153" s="513"/>
      <c r="M153" s="505">
        <f t="shared" si="22"/>
        <v>0</v>
      </c>
      <c r="N153" s="513"/>
      <c r="O153" s="505">
        <f t="shared" si="23"/>
        <v>0</v>
      </c>
      <c r="P153" s="505">
        <f t="shared" si="24"/>
        <v>0</v>
      </c>
      <c r="Q153" s="244"/>
      <c r="R153" s="244"/>
      <c r="S153" s="244"/>
      <c r="T153" s="244"/>
      <c r="U153" s="244"/>
    </row>
    <row r="154" spans="2:21">
      <c r="B154" s="145" t="str">
        <f t="shared" si="20"/>
        <v/>
      </c>
      <c r="C154" s="496">
        <f>IF(D94="","-",+C153+1)</f>
        <v>2067</v>
      </c>
      <c r="D154" s="350"/>
      <c r="E154" s="629"/>
      <c r="F154" s="511"/>
      <c r="G154" s="511"/>
      <c r="H154" s="646"/>
      <c r="I154" s="630"/>
      <c r="J154" s="505">
        <f t="shared" si="21"/>
        <v>0</v>
      </c>
      <c r="K154" s="505"/>
      <c r="L154" s="513"/>
      <c r="M154" s="505">
        <f t="shared" si="22"/>
        <v>0</v>
      </c>
      <c r="N154" s="513"/>
      <c r="O154" s="505">
        <f t="shared" si="23"/>
        <v>0</v>
      </c>
      <c r="P154" s="505">
        <f t="shared" si="24"/>
        <v>0</v>
      </c>
      <c r="Q154" s="244"/>
      <c r="R154" s="244"/>
      <c r="S154" s="244"/>
      <c r="T154" s="244"/>
      <c r="U154" s="244"/>
    </row>
    <row r="155" spans="2:21" ht="13.5" thickBot="1">
      <c r="B155" s="145" t="str">
        <f t="shared" si="20"/>
        <v/>
      </c>
      <c r="C155" s="525">
        <f>IF(D94="","-",+C154+1)</f>
        <v>2068</v>
      </c>
      <c r="D155" s="619"/>
      <c r="E155" s="631"/>
      <c r="F155" s="528"/>
      <c r="G155" s="528"/>
      <c r="H155" s="646"/>
      <c r="I155" s="632"/>
      <c r="J155" s="532">
        <f t="shared" si="21"/>
        <v>0</v>
      </c>
      <c r="K155" s="505"/>
      <c r="L155" s="531"/>
      <c r="M155" s="532">
        <f t="shared" si="22"/>
        <v>0</v>
      </c>
      <c r="N155" s="531"/>
      <c r="O155" s="532">
        <f t="shared" si="23"/>
        <v>0</v>
      </c>
      <c r="P155" s="532">
        <f t="shared" si="24"/>
        <v>0</v>
      </c>
      <c r="Q155" s="244"/>
      <c r="R155" s="244"/>
      <c r="S155" s="244"/>
      <c r="T155" s="244"/>
      <c r="U155" s="244"/>
    </row>
    <row r="156" spans="2:21">
      <c r="C156" s="350" t="s">
        <v>75</v>
      </c>
      <c r="D156" s="295"/>
      <c r="E156" s="295">
        <f>SUM(E100:E155)</f>
        <v>433494.464379085</v>
      </c>
      <c r="F156" s="295"/>
      <c r="G156" s="295"/>
      <c r="H156" s="295">
        <f>SUM(H100:H155)</f>
        <v>2387323.3800558434</v>
      </c>
      <c r="I156" s="295">
        <f>SUM(I100:I155)</f>
        <v>2387323.3800558434</v>
      </c>
      <c r="J156" s="295">
        <f>SUM(J100:J155)</f>
        <v>0</v>
      </c>
      <c r="K156" s="295"/>
      <c r="L156" s="295"/>
      <c r="M156" s="295"/>
      <c r="N156" s="295"/>
      <c r="O156" s="295"/>
      <c r="P156" s="244"/>
      <c r="Q156" s="244"/>
      <c r="R156" s="244"/>
      <c r="S156" s="244"/>
      <c r="T156" s="244"/>
      <c r="U156" s="244"/>
    </row>
    <row r="157" spans="2:21">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c r="C158" s="575"/>
      <c r="D158" s="293"/>
      <c r="E158" s="244"/>
      <c r="F158" s="244"/>
      <c r="G158" s="244"/>
      <c r="H158" s="244"/>
      <c r="I158" s="326"/>
      <c r="J158" s="326"/>
      <c r="K158" s="295"/>
      <c r="L158" s="326"/>
      <c r="M158" s="326"/>
      <c r="N158" s="326"/>
      <c r="O158" s="326"/>
      <c r="P158" s="244"/>
      <c r="Q158" s="244"/>
      <c r="R158" s="244"/>
      <c r="S158" s="244"/>
      <c r="T158" s="244"/>
      <c r="U158" s="244"/>
    </row>
    <row r="159" spans="2:21">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6" priority="1" stopIfTrue="1" operator="equal">
      <formula>$I$10</formula>
    </cfRule>
  </conditionalFormatting>
  <conditionalFormatting sqref="C100:C155">
    <cfRule type="cellIs" dxfId="25"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dimension ref="A1:U163"/>
  <sheetViews>
    <sheetView zoomScaleNormal="100" zoomScaleSheetLayoutView="78"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14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8552229.9584809169</v>
      </c>
      <c r="P5" s="244"/>
      <c r="R5" s="244"/>
      <c r="S5" s="244"/>
      <c r="T5" s="244"/>
      <c r="U5" s="244"/>
    </row>
    <row r="6" spans="1:21" ht="15.75">
      <c r="C6" s="236"/>
      <c r="D6" s="293"/>
      <c r="E6" s="244"/>
      <c r="F6" s="244"/>
      <c r="G6" s="244"/>
      <c r="H6" s="450"/>
      <c r="I6" s="450"/>
      <c r="J6" s="451"/>
      <c r="K6" s="452" t="s">
        <v>243</v>
      </c>
      <c r="L6" s="453"/>
      <c r="M6" s="279"/>
      <c r="N6" s="454">
        <f>VLOOKUP(I10,C17:I73,6)</f>
        <v>8552229.9584809169</v>
      </c>
      <c r="O6" s="244"/>
      <c r="P6" s="244"/>
      <c r="R6" s="244"/>
      <c r="S6" s="244"/>
      <c r="T6" s="244"/>
      <c r="U6" s="244"/>
    </row>
    <row r="7" spans="1:21" ht="13.5" thickBot="1">
      <c r="C7" s="455" t="s">
        <v>46</v>
      </c>
      <c r="D7" s="635" t="s">
        <v>234</v>
      </c>
      <c r="E7" s="635"/>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235</v>
      </c>
      <c r="E9" s="466"/>
      <c r="F9" s="466"/>
      <c r="G9" s="466"/>
      <c r="H9" s="466"/>
      <c r="I9" s="467"/>
      <c r="J9" s="468"/>
      <c r="O9" s="469"/>
      <c r="P9" s="279"/>
      <c r="R9" s="244"/>
      <c r="S9" s="244"/>
      <c r="T9" s="244"/>
      <c r="U9" s="244"/>
    </row>
    <row r="10" spans="1:21">
      <c r="C10" s="470" t="s">
        <v>49</v>
      </c>
      <c r="D10" s="471">
        <v>68247469</v>
      </c>
      <c r="E10" s="300" t="s">
        <v>50</v>
      </c>
      <c r="F10" s="469"/>
      <c r="G10" s="409"/>
      <c r="H10" s="409"/>
      <c r="I10" s="472">
        <f>+'OKT.WS.F.BPU.ATRR.Projected'!R100</f>
        <v>2020</v>
      </c>
      <c r="J10" s="468"/>
      <c r="K10" s="295" t="s">
        <v>51</v>
      </c>
      <c r="O10" s="279"/>
      <c r="P10" s="279"/>
      <c r="R10" s="244"/>
      <c r="S10" s="244"/>
      <c r="T10" s="244"/>
      <c r="U10" s="244"/>
    </row>
    <row r="11" spans="1:21">
      <c r="C11" s="473" t="s">
        <v>52</v>
      </c>
      <c r="D11" s="474">
        <v>2016</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12</v>
      </c>
      <c r="E12" s="473" t="s">
        <v>55</v>
      </c>
      <c r="F12" s="409"/>
      <c r="G12" s="221"/>
      <c r="H12" s="221"/>
      <c r="I12" s="477">
        <f>'OKT.WS.F.BPU.ATRR.Projected'!$F$78</f>
        <v>0.1064171487591708</v>
      </c>
      <c r="J12" s="414"/>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2007278.5</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3:21">
      <c r="C17" s="496">
        <f>IF(D11= "","-",D11)</f>
        <v>2016</v>
      </c>
      <c r="D17" s="613">
        <v>3408237</v>
      </c>
      <c r="E17" s="621">
        <v>41312.427614067317</v>
      </c>
      <c r="F17" s="613">
        <v>3366924.5723859328</v>
      </c>
      <c r="G17" s="621">
        <v>283462.47353390156</v>
      </c>
      <c r="H17" s="618">
        <v>283462.47353390156</v>
      </c>
      <c r="I17" s="501">
        <f t="shared" ref="I17:I73" si="0">H17-G17</f>
        <v>0</v>
      </c>
      <c r="J17" s="501"/>
      <c r="K17" s="502">
        <f t="shared" ref="K17:K22" si="1">G17</f>
        <v>283462.47353390156</v>
      </c>
      <c r="L17" s="503">
        <f t="shared" ref="L17:L22" si="2">IF(K17&lt;&gt;0,+G17-K17,0)</f>
        <v>0</v>
      </c>
      <c r="M17" s="502">
        <f t="shared" ref="M17:M22" si="3">H17</f>
        <v>283462.47353390156</v>
      </c>
      <c r="N17" s="504">
        <f t="shared" ref="N17:N73" si="4">IF(M17&lt;&gt;0,+H17-M17,0)</f>
        <v>0</v>
      </c>
      <c r="O17" s="505">
        <f t="shared" ref="O17:O73" si="5">+N17-L17</f>
        <v>0</v>
      </c>
      <c r="P17" s="279"/>
      <c r="R17" s="244"/>
      <c r="S17" s="244"/>
      <c r="T17" s="244"/>
      <c r="U17" s="244"/>
    </row>
    <row r="18" spans="3:21">
      <c r="C18" s="496">
        <f>IF(D11="","-",+C17+1)</f>
        <v>2017</v>
      </c>
      <c r="D18" s="615">
        <v>69080283.572385937</v>
      </c>
      <c r="E18" s="614">
        <v>1359067.4231693465</v>
      </c>
      <c r="F18" s="615">
        <v>67721216.149216592</v>
      </c>
      <c r="G18" s="614">
        <v>8879043.9719662741</v>
      </c>
      <c r="H18" s="618">
        <v>8879043.9719662741</v>
      </c>
      <c r="I18" s="501">
        <f t="shared" si="0"/>
        <v>0</v>
      </c>
      <c r="J18" s="501"/>
      <c r="K18" s="593">
        <f t="shared" si="1"/>
        <v>8879043.9719662741</v>
      </c>
      <c r="L18" s="597">
        <f t="shared" si="2"/>
        <v>0</v>
      </c>
      <c r="M18" s="593">
        <f t="shared" si="3"/>
        <v>8879043.9719662741</v>
      </c>
      <c r="N18" s="505">
        <f>IF(M18&lt;&gt;0,+H18-M18,0)</f>
        <v>0</v>
      </c>
      <c r="O18" s="505">
        <f>+N18-L18</f>
        <v>0</v>
      </c>
      <c r="P18" s="279"/>
      <c r="R18" s="244"/>
      <c r="S18" s="244"/>
      <c r="T18" s="244"/>
      <c r="U18" s="244"/>
    </row>
    <row r="19" spans="3:21">
      <c r="C19" s="496">
        <f>IF(D11="","-",+C18+1)</f>
        <v>2018</v>
      </c>
      <c r="D19" s="615">
        <v>67721216.149216592</v>
      </c>
      <c r="E19" s="614">
        <v>1695178.2446698518</v>
      </c>
      <c r="F19" s="615">
        <v>66026037.904546738</v>
      </c>
      <c r="G19" s="614">
        <v>9552229.3614855185</v>
      </c>
      <c r="H19" s="618">
        <v>9552229.3614855185</v>
      </c>
      <c r="I19" s="501">
        <f t="shared" si="0"/>
        <v>0</v>
      </c>
      <c r="J19" s="501"/>
      <c r="K19" s="593">
        <f t="shared" si="1"/>
        <v>9552229.3614855185</v>
      </c>
      <c r="L19" s="597">
        <f t="shared" si="2"/>
        <v>0</v>
      </c>
      <c r="M19" s="593">
        <f t="shared" si="3"/>
        <v>9552229.3614855185</v>
      </c>
      <c r="N19" s="505">
        <f>IF(M19&lt;&gt;0,+H19-M19,0)</f>
        <v>0</v>
      </c>
      <c r="O19" s="505">
        <f>+N19-L19</f>
        <v>0</v>
      </c>
      <c r="P19" s="279"/>
      <c r="R19" s="244"/>
      <c r="S19" s="244"/>
      <c r="T19" s="244"/>
      <c r="U19" s="244"/>
    </row>
    <row r="20" spans="3:21">
      <c r="C20" s="496">
        <f>IF(D11="","-",+C19+1)</f>
        <v>2019</v>
      </c>
      <c r="D20" s="615">
        <v>66026037.904546738</v>
      </c>
      <c r="E20" s="614">
        <v>1695178.2446698518</v>
      </c>
      <c r="F20" s="615">
        <v>64330859.659876883</v>
      </c>
      <c r="G20" s="614">
        <v>9353061.1286165137</v>
      </c>
      <c r="H20" s="618">
        <v>9353061.1286165137</v>
      </c>
      <c r="I20" s="501">
        <f t="shared" si="0"/>
        <v>0</v>
      </c>
      <c r="J20" s="501"/>
      <c r="K20" s="593">
        <f t="shared" si="1"/>
        <v>9353061.1286165137</v>
      </c>
      <c r="L20" s="597">
        <f t="shared" si="2"/>
        <v>0</v>
      </c>
      <c r="M20" s="593">
        <f t="shared" si="3"/>
        <v>9353061.1286165137</v>
      </c>
      <c r="N20" s="505">
        <f>IF(M20&lt;&gt;0,+H20-M20,0)</f>
        <v>0</v>
      </c>
      <c r="O20" s="505">
        <f>+N20-L20</f>
        <v>0</v>
      </c>
      <c r="P20" s="279"/>
      <c r="R20" s="244"/>
      <c r="S20" s="244"/>
      <c r="T20" s="244"/>
      <c r="U20" s="244"/>
    </row>
    <row r="21" spans="3:21">
      <c r="C21" s="496">
        <f>IF(D11="","-",+C20+1)</f>
        <v>2020</v>
      </c>
      <c r="D21" s="615">
        <v>63456732.659876883</v>
      </c>
      <c r="E21" s="614">
        <v>1998407.404883953</v>
      </c>
      <c r="F21" s="615">
        <v>61458325.254992932</v>
      </c>
      <c r="G21" s="614">
        <v>8552229.9584809169</v>
      </c>
      <c r="H21" s="618">
        <v>8552229.9584809169</v>
      </c>
      <c r="I21" s="501">
        <f t="shared" si="0"/>
        <v>0</v>
      </c>
      <c r="J21" s="501"/>
      <c r="K21" s="593">
        <f t="shared" si="1"/>
        <v>8552229.9584809169</v>
      </c>
      <c r="L21" s="597">
        <f t="shared" si="2"/>
        <v>0</v>
      </c>
      <c r="M21" s="593">
        <f t="shared" si="3"/>
        <v>8552229.9584809169</v>
      </c>
      <c r="N21" s="505">
        <f t="shared" si="4"/>
        <v>0</v>
      </c>
      <c r="O21" s="505">
        <f t="shared" si="5"/>
        <v>0</v>
      </c>
      <c r="P21" s="279"/>
      <c r="R21" s="244"/>
      <c r="S21" s="244"/>
      <c r="T21" s="244"/>
      <c r="U21" s="244"/>
    </row>
    <row r="22" spans="3:21">
      <c r="C22" s="496">
        <f>IF(D11="","-",+C21+1)</f>
        <v>2021</v>
      </c>
      <c r="D22" s="615">
        <v>61103436.664882921</v>
      </c>
      <c r="E22" s="614">
        <v>2201531.2580645164</v>
      </c>
      <c r="F22" s="615">
        <v>58901905.406818405</v>
      </c>
      <c r="G22" s="614">
        <v>8692924.255398104</v>
      </c>
      <c r="H22" s="618">
        <v>8692924.255398104</v>
      </c>
      <c r="I22" s="501">
        <f t="shared" si="0"/>
        <v>0</v>
      </c>
      <c r="J22" s="501"/>
      <c r="K22" s="593">
        <f t="shared" si="1"/>
        <v>8692924.255398104</v>
      </c>
      <c r="L22" s="597">
        <f t="shared" si="2"/>
        <v>0</v>
      </c>
      <c r="M22" s="593">
        <f t="shared" si="3"/>
        <v>8692924.255398104</v>
      </c>
      <c r="N22" s="505">
        <f t="shared" si="4"/>
        <v>0</v>
      </c>
      <c r="O22" s="505">
        <f t="shared" si="5"/>
        <v>0</v>
      </c>
      <c r="P22" s="279"/>
      <c r="R22" s="244"/>
      <c r="S22" s="244"/>
      <c r="T22" s="244"/>
      <c r="U22" s="244"/>
    </row>
    <row r="23" spans="3:21">
      <c r="C23" s="496">
        <f>IF(D11="","-",+C22+1)</f>
        <v>2022</v>
      </c>
      <c r="D23" s="511">
        <f>IF(F22+SUM(E$17:E22)=D$10,F22,D$10-SUM(E$17:E22))</f>
        <v>59256793.996928416</v>
      </c>
      <c r="E23" s="510">
        <f>IF(+I14&lt;F22,I14,D23)</f>
        <v>2007278.5</v>
      </c>
      <c r="F23" s="511">
        <f t="shared" ref="F23:F73" si="6">+D23-E23</f>
        <v>57249515.496928416</v>
      </c>
      <c r="G23" s="512">
        <f t="shared" ref="G23:G73" si="7">(D23+F23)/2*I$12+E23</f>
        <v>8206413.1343948776</v>
      </c>
      <c r="H23" s="478">
        <f t="shared" ref="H23:H73" si="8">+(D23+F23)/2*I$13+E23</f>
        <v>8206413.1343948776</v>
      </c>
      <c r="I23" s="501">
        <f t="shared" si="0"/>
        <v>0</v>
      </c>
      <c r="J23" s="501"/>
      <c r="K23" s="513"/>
      <c r="L23" s="505">
        <f t="shared" ref="L23:L73" si="9">IF(K23&lt;&gt;0,+G23-K23,0)</f>
        <v>0</v>
      </c>
      <c r="M23" s="513"/>
      <c r="N23" s="505">
        <f t="shared" si="4"/>
        <v>0</v>
      </c>
      <c r="O23" s="505">
        <f t="shared" si="5"/>
        <v>0</v>
      </c>
      <c r="P23" s="279"/>
      <c r="R23" s="244"/>
      <c r="S23" s="244"/>
      <c r="T23" s="244"/>
      <c r="U23" s="244"/>
    </row>
    <row r="24" spans="3:21">
      <c r="C24" s="496">
        <f>IF(D11="","-",+C23+1)</f>
        <v>2023</v>
      </c>
      <c r="D24" s="511">
        <f>IF(F23+SUM(E$17:E23)=D$10,F23,D$10-SUM(E$17:E23))</f>
        <v>57249515.496928416</v>
      </c>
      <c r="E24" s="510">
        <f>IF(+I14&lt;F23,I14,D24)</f>
        <v>2007278.5</v>
      </c>
      <c r="F24" s="511">
        <f t="shared" si="6"/>
        <v>55242236.996928416</v>
      </c>
      <c r="G24" s="512">
        <f t="shared" si="7"/>
        <v>7992804.2796592927</v>
      </c>
      <c r="H24" s="478">
        <f t="shared" si="8"/>
        <v>7992804.2796592927</v>
      </c>
      <c r="I24" s="501">
        <f t="shared" si="0"/>
        <v>0</v>
      </c>
      <c r="J24" s="501"/>
      <c r="K24" s="513"/>
      <c r="L24" s="505">
        <f t="shared" si="9"/>
        <v>0</v>
      </c>
      <c r="M24" s="513"/>
      <c r="N24" s="505">
        <f t="shared" si="4"/>
        <v>0</v>
      </c>
      <c r="O24" s="505">
        <f t="shared" si="5"/>
        <v>0</v>
      </c>
      <c r="P24" s="279"/>
      <c r="R24" s="244"/>
      <c r="S24" s="244"/>
      <c r="T24" s="244"/>
      <c r="U24" s="244"/>
    </row>
    <row r="25" spans="3:21">
      <c r="C25" s="496">
        <f>IF(D11="","-",+C24+1)</f>
        <v>2024</v>
      </c>
      <c r="D25" s="511">
        <f>IF(F24+SUM(E$17:E24)=D$10,F24,D$10-SUM(E$17:E24))</f>
        <v>55242236.996928416</v>
      </c>
      <c r="E25" s="510">
        <f>IF(+I14&lt;F24,I14,D25)</f>
        <v>2007278.5</v>
      </c>
      <c r="F25" s="511">
        <f t="shared" si="6"/>
        <v>53234958.496928416</v>
      </c>
      <c r="G25" s="512">
        <f t="shared" si="7"/>
        <v>7779195.4249237077</v>
      </c>
      <c r="H25" s="478">
        <f t="shared" si="8"/>
        <v>7779195.4249237077</v>
      </c>
      <c r="I25" s="501">
        <f t="shared" si="0"/>
        <v>0</v>
      </c>
      <c r="J25" s="501"/>
      <c r="K25" s="513"/>
      <c r="L25" s="505">
        <f t="shared" si="9"/>
        <v>0</v>
      </c>
      <c r="M25" s="513"/>
      <c r="N25" s="505">
        <f t="shared" si="4"/>
        <v>0</v>
      </c>
      <c r="O25" s="505">
        <f t="shared" si="5"/>
        <v>0</v>
      </c>
      <c r="P25" s="279"/>
      <c r="R25" s="244"/>
      <c r="S25" s="244"/>
      <c r="T25" s="244"/>
      <c r="U25" s="244"/>
    </row>
    <row r="26" spans="3:21">
      <c r="C26" s="496">
        <f>IF(D11="","-",+C25+1)</f>
        <v>2025</v>
      </c>
      <c r="D26" s="511">
        <f>IF(F25+SUM(E$17:E25)=D$10,F25,D$10-SUM(E$17:E25))</f>
        <v>53234958.496928416</v>
      </c>
      <c r="E26" s="510">
        <f>IF(+I14&lt;F25,I14,D26)</f>
        <v>2007278.5</v>
      </c>
      <c r="F26" s="511">
        <f t="shared" si="6"/>
        <v>51227679.996928416</v>
      </c>
      <c r="G26" s="512">
        <f t="shared" si="7"/>
        <v>7565586.5701881219</v>
      </c>
      <c r="H26" s="478">
        <f t="shared" si="8"/>
        <v>7565586.5701881219</v>
      </c>
      <c r="I26" s="501">
        <f t="shared" si="0"/>
        <v>0</v>
      </c>
      <c r="J26" s="501"/>
      <c r="K26" s="513"/>
      <c r="L26" s="505">
        <f t="shared" si="9"/>
        <v>0</v>
      </c>
      <c r="M26" s="513"/>
      <c r="N26" s="505">
        <f t="shared" si="4"/>
        <v>0</v>
      </c>
      <c r="O26" s="505">
        <f t="shared" si="5"/>
        <v>0</v>
      </c>
      <c r="P26" s="279"/>
      <c r="R26" s="244"/>
      <c r="S26" s="244"/>
      <c r="T26" s="244"/>
      <c r="U26" s="244"/>
    </row>
    <row r="27" spans="3:21">
      <c r="C27" s="496">
        <f>IF(D11="","-",+C26+1)</f>
        <v>2026</v>
      </c>
      <c r="D27" s="509">
        <f>IF(F26+SUM(E$17:E26)=D$10,F26,D$10-SUM(E$17:E26))</f>
        <v>51227679.996928416</v>
      </c>
      <c r="E27" s="510">
        <f>IF(+I14&lt;F26,I14,D27)</f>
        <v>2007278.5</v>
      </c>
      <c r="F27" s="511">
        <f t="shared" si="6"/>
        <v>49220401.496928416</v>
      </c>
      <c r="G27" s="512">
        <f t="shared" si="7"/>
        <v>7351977.7154525369</v>
      </c>
      <c r="H27" s="478">
        <f t="shared" si="8"/>
        <v>7351977.7154525369</v>
      </c>
      <c r="I27" s="501">
        <f t="shared" si="0"/>
        <v>0</v>
      </c>
      <c r="J27" s="501"/>
      <c r="K27" s="513"/>
      <c r="L27" s="505">
        <f t="shared" si="9"/>
        <v>0</v>
      </c>
      <c r="M27" s="513"/>
      <c r="N27" s="505">
        <f t="shared" si="4"/>
        <v>0</v>
      </c>
      <c r="O27" s="505">
        <f t="shared" si="5"/>
        <v>0</v>
      </c>
      <c r="P27" s="279"/>
      <c r="R27" s="244"/>
      <c r="S27" s="244"/>
      <c r="T27" s="244"/>
      <c r="U27" s="244"/>
    </row>
    <row r="28" spans="3:21">
      <c r="C28" s="496">
        <f>IF(D11="","-",+C27+1)</f>
        <v>2027</v>
      </c>
      <c r="D28" s="511">
        <f>IF(F27+SUM(E$17:E27)=D$10,F27,D$10-SUM(E$17:E27))</f>
        <v>49220401.496928416</v>
      </c>
      <c r="E28" s="510">
        <f>IF(+I14&lt;F27,I14,D28)</f>
        <v>2007278.5</v>
      </c>
      <c r="F28" s="511">
        <f t="shared" si="6"/>
        <v>47213122.996928416</v>
      </c>
      <c r="G28" s="512">
        <f t="shared" si="7"/>
        <v>7138368.860716952</v>
      </c>
      <c r="H28" s="478">
        <f t="shared" si="8"/>
        <v>7138368.860716952</v>
      </c>
      <c r="I28" s="501">
        <f t="shared" si="0"/>
        <v>0</v>
      </c>
      <c r="J28" s="501"/>
      <c r="K28" s="513"/>
      <c r="L28" s="505">
        <f t="shared" si="9"/>
        <v>0</v>
      </c>
      <c r="M28" s="513"/>
      <c r="N28" s="505">
        <f t="shared" si="4"/>
        <v>0</v>
      </c>
      <c r="O28" s="505">
        <f t="shared" si="5"/>
        <v>0</v>
      </c>
      <c r="P28" s="279"/>
      <c r="R28" s="244"/>
      <c r="S28" s="244"/>
      <c r="T28" s="244"/>
      <c r="U28" s="244"/>
    </row>
    <row r="29" spans="3:21">
      <c r="C29" s="496">
        <f>IF(D11="","-",+C28+1)</f>
        <v>2028</v>
      </c>
      <c r="D29" s="511">
        <f>IF(F28+SUM(E$17:E28)=D$10,F28,D$10-SUM(E$17:E28))</f>
        <v>47213122.996928416</v>
      </c>
      <c r="E29" s="510">
        <f>IF(+I14&lt;F28,I14,D29)</f>
        <v>2007278.5</v>
      </c>
      <c r="F29" s="511">
        <f t="shared" si="6"/>
        <v>45205844.496928416</v>
      </c>
      <c r="G29" s="512">
        <f t="shared" si="7"/>
        <v>6924760.0059813662</v>
      </c>
      <c r="H29" s="478">
        <f t="shared" si="8"/>
        <v>6924760.0059813662</v>
      </c>
      <c r="I29" s="501">
        <f t="shared" si="0"/>
        <v>0</v>
      </c>
      <c r="J29" s="501"/>
      <c r="K29" s="513"/>
      <c r="L29" s="505">
        <f t="shared" si="9"/>
        <v>0</v>
      </c>
      <c r="M29" s="513"/>
      <c r="N29" s="505">
        <f t="shared" si="4"/>
        <v>0</v>
      </c>
      <c r="O29" s="505">
        <f t="shared" si="5"/>
        <v>0</v>
      </c>
      <c r="P29" s="279"/>
      <c r="R29" s="244"/>
      <c r="S29" s="244"/>
      <c r="T29" s="244"/>
      <c r="U29" s="244"/>
    </row>
    <row r="30" spans="3:21">
      <c r="C30" s="496">
        <f>IF(D11="","-",+C29+1)</f>
        <v>2029</v>
      </c>
      <c r="D30" s="511">
        <f>IF(F29+SUM(E$17:E29)=D$10,F29,D$10-SUM(E$17:E29))</f>
        <v>45205844.496928416</v>
      </c>
      <c r="E30" s="510">
        <f>IF(+I14&lt;F29,I14,D30)</f>
        <v>2007278.5</v>
      </c>
      <c r="F30" s="511">
        <f t="shared" si="6"/>
        <v>43198565.996928416</v>
      </c>
      <c r="G30" s="512">
        <f t="shared" si="7"/>
        <v>6711151.1512457812</v>
      </c>
      <c r="H30" s="478">
        <f t="shared" si="8"/>
        <v>6711151.1512457812</v>
      </c>
      <c r="I30" s="501">
        <f t="shared" si="0"/>
        <v>0</v>
      </c>
      <c r="J30" s="501"/>
      <c r="K30" s="513"/>
      <c r="L30" s="505">
        <f t="shared" si="9"/>
        <v>0</v>
      </c>
      <c r="M30" s="513"/>
      <c r="N30" s="505">
        <f t="shared" si="4"/>
        <v>0</v>
      </c>
      <c r="O30" s="505">
        <f t="shared" si="5"/>
        <v>0</v>
      </c>
      <c r="P30" s="279"/>
      <c r="R30" s="244"/>
      <c r="S30" s="244"/>
      <c r="T30" s="244"/>
      <c r="U30" s="244"/>
    </row>
    <row r="31" spans="3:21">
      <c r="C31" s="496">
        <f>IF(D11="","-",+C30+1)</f>
        <v>2030</v>
      </c>
      <c r="D31" s="511">
        <f>IF(F30+SUM(E$17:E30)=D$10,F30,D$10-SUM(E$17:E30))</f>
        <v>43198565.996928416</v>
      </c>
      <c r="E31" s="510">
        <f>IF(+I14&lt;F30,I14,D31)</f>
        <v>2007278.5</v>
      </c>
      <c r="F31" s="511">
        <f t="shared" si="6"/>
        <v>41191287.496928416</v>
      </c>
      <c r="G31" s="512">
        <f t="shared" si="7"/>
        <v>6497542.2965101963</v>
      </c>
      <c r="H31" s="478">
        <f t="shared" si="8"/>
        <v>6497542.2965101963</v>
      </c>
      <c r="I31" s="501">
        <f t="shared" si="0"/>
        <v>0</v>
      </c>
      <c r="J31" s="501"/>
      <c r="K31" s="513"/>
      <c r="L31" s="505">
        <f t="shared" si="9"/>
        <v>0</v>
      </c>
      <c r="M31" s="513"/>
      <c r="N31" s="505">
        <f t="shared" si="4"/>
        <v>0</v>
      </c>
      <c r="O31" s="505">
        <f t="shared" si="5"/>
        <v>0</v>
      </c>
      <c r="P31" s="279"/>
      <c r="Q31" s="221"/>
      <c r="R31" s="279"/>
      <c r="S31" s="279"/>
      <c r="T31" s="279"/>
      <c r="U31" s="244"/>
    </row>
    <row r="32" spans="3:21">
      <c r="C32" s="496">
        <f>IF(D12="","-",+C31+1)</f>
        <v>2031</v>
      </c>
      <c r="D32" s="511">
        <f>IF(F31+SUM(E$17:E31)=D$10,F31,D$10-SUM(E$17:E31))</f>
        <v>41191287.496928416</v>
      </c>
      <c r="E32" s="510">
        <f>IF(+I14&lt;F31,I14,D32)</f>
        <v>2007278.5</v>
      </c>
      <c r="F32" s="511">
        <f>+D32-E32</f>
        <v>39184008.996928416</v>
      </c>
      <c r="G32" s="512">
        <f t="shared" si="7"/>
        <v>6283933.4417746104</v>
      </c>
      <c r="H32" s="478">
        <f t="shared" si="8"/>
        <v>6283933.4417746104</v>
      </c>
      <c r="I32" s="501">
        <f>H32-G32</f>
        <v>0</v>
      </c>
      <c r="J32" s="501"/>
      <c r="K32" s="513"/>
      <c r="L32" s="505">
        <f>IF(K32&lt;&gt;0,+G32-K32,0)</f>
        <v>0</v>
      </c>
      <c r="M32" s="513"/>
      <c r="N32" s="505">
        <f>IF(M32&lt;&gt;0,+H32-M32,0)</f>
        <v>0</v>
      </c>
      <c r="O32" s="505">
        <f>+N32-L32</f>
        <v>0</v>
      </c>
      <c r="P32" s="279"/>
      <c r="Q32" s="221"/>
      <c r="R32" s="279"/>
      <c r="S32" s="279"/>
      <c r="T32" s="279"/>
      <c r="U32" s="244"/>
    </row>
    <row r="33" spans="3:21">
      <c r="C33" s="496">
        <f>IF(D13="","-",+C32+1)</f>
        <v>2032</v>
      </c>
      <c r="D33" s="511">
        <f>IF(F32+SUM(E$17:E32)=D$10,F32,D$10-SUM(E$17:E32))</f>
        <v>39184008.996928416</v>
      </c>
      <c r="E33" s="510">
        <f>IF(+I14&lt;F32,I14,D33)</f>
        <v>2007278.5</v>
      </c>
      <c r="F33" s="511">
        <f>+D33-E33</f>
        <v>37176730.496928416</v>
      </c>
      <c r="G33" s="512">
        <f t="shared" si="7"/>
        <v>6070324.5870390255</v>
      </c>
      <c r="H33" s="478">
        <f t="shared" si="8"/>
        <v>6070324.5870390255</v>
      </c>
      <c r="I33" s="501">
        <f>H33-G33</f>
        <v>0</v>
      </c>
      <c r="J33" s="501"/>
      <c r="K33" s="513"/>
      <c r="L33" s="505">
        <f>IF(K33&lt;&gt;0,+G33-K33,0)</f>
        <v>0</v>
      </c>
      <c r="M33" s="513"/>
      <c r="N33" s="505">
        <f>IF(M33&lt;&gt;0,+H33-M33,0)</f>
        <v>0</v>
      </c>
      <c r="O33" s="505">
        <f>+N33-L33</f>
        <v>0</v>
      </c>
      <c r="P33" s="279"/>
      <c r="R33" s="244"/>
      <c r="S33" s="244"/>
      <c r="T33" s="244"/>
      <c r="U33" s="244"/>
    </row>
    <row r="34" spans="3:21">
      <c r="C34" s="514">
        <f>IF(D11="","-",+C33+1)</f>
        <v>2033</v>
      </c>
      <c r="D34" s="517">
        <f>IF(F33+SUM(E$17:E33)=D$10,F33,D$10-SUM(E$17:E33))</f>
        <v>37176730.496928416</v>
      </c>
      <c r="E34" s="516">
        <f>IF(+I14&lt;F33,I14,D34)</f>
        <v>2007278.5</v>
      </c>
      <c r="F34" s="517">
        <f t="shared" si="6"/>
        <v>35169451.996928416</v>
      </c>
      <c r="G34" s="512">
        <f t="shared" si="7"/>
        <v>5856715.7323034406</v>
      </c>
      <c r="H34" s="478">
        <f t="shared" si="8"/>
        <v>5856715.7323034406</v>
      </c>
      <c r="I34" s="520">
        <f t="shared" si="0"/>
        <v>0</v>
      </c>
      <c r="J34" s="520"/>
      <c r="K34" s="521"/>
      <c r="L34" s="522">
        <f t="shared" si="9"/>
        <v>0</v>
      </c>
      <c r="M34" s="521"/>
      <c r="N34" s="522">
        <f t="shared" si="4"/>
        <v>0</v>
      </c>
      <c r="O34" s="522">
        <f t="shared" si="5"/>
        <v>0</v>
      </c>
      <c r="P34" s="523"/>
      <c r="Q34" s="217"/>
      <c r="R34" s="523"/>
      <c r="S34" s="523"/>
      <c r="T34" s="523"/>
      <c r="U34" s="244"/>
    </row>
    <row r="35" spans="3:21">
      <c r="C35" s="496">
        <f>IF(D11="","-",+C34+1)</f>
        <v>2034</v>
      </c>
      <c r="D35" s="511">
        <f>IF(F34+SUM(E$17:E34)=D$10,F34,D$10-SUM(E$17:E34))</f>
        <v>35169451.996928416</v>
      </c>
      <c r="E35" s="510">
        <f>IF(+I14&lt;F34,I14,D35)</f>
        <v>2007278.5</v>
      </c>
      <c r="F35" s="511">
        <f t="shared" si="6"/>
        <v>33162173.496928416</v>
      </c>
      <c r="G35" s="512">
        <f t="shared" si="7"/>
        <v>5643106.8775678556</v>
      </c>
      <c r="H35" s="478">
        <f t="shared" si="8"/>
        <v>5643106.8775678556</v>
      </c>
      <c r="I35" s="501">
        <f t="shared" si="0"/>
        <v>0</v>
      </c>
      <c r="J35" s="501"/>
      <c r="K35" s="513"/>
      <c r="L35" s="505">
        <f t="shared" si="9"/>
        <v>0</v>
      </c>
      <c r="M35" s="513"/>
      <c r="N35" s="505">
        <f t="shared" si="4"/>
        <v>0</v>
      </c>
      <c r="O35" s="505">
        <f t="shared" si="5"/>
        <v>0</v>
      </c>
      <c r="P35" s="279"/>
      <c r="R35" s="244"/>
      <c r="S35" s="244"/>
      <c r="T35" s="244"/>
      <c r="U35" s="244"/>
    </row>
    <row r="36" spans="3:21">
      <c r="C36" s="496">
        <f>IF(D11="","-",+C35+1)</f>
        <v>2035</v>
      </c>
      <c r="D36" s="511">
        <f>IF(F35+SUM(E$17:E35)=D$10,F35,D$10-SUM(E$17:E35))</f>
        <v>33162173.496928416</v>
      </c>
      <c r="E36" s="510">
        <f>IF(+I14&lt;F35,I14,D36)</f>
        <v>2007278.5</v>
      </c>
      <c r="F36" s="511">
        <f t="shared" si="6"/>
        <v>31154894.996928416</v>
      </c>
      <c r="G36" s="512">
        <f t="shared" si="7"/>
        <v>5429498.0228322698</v>
      </c>
      <c r="H36" s="478">
        <f t="shared" si="8"/>
        <v>5429498.0228322698</v>
      </c>
      <c r="I36" s="501">
        <f t="shared" si="0"/>
        <v>0</v>
      </c>
      <c r="J36" s="501"/>
      <c r="K36" s="513"/>
      <c r="L36" s="505">
        <f t="shared" si="9"/>
        <v>0</v>
      </c>
      <c r="M36" s="513"/>
      <c r="N36" s="505">
        <f t="shared" si="4"/>
        <v>0</v>
      </c>
      <c r="O36" s="505">
        <f t="shared" si="5"/>
        <v>0</v>
      </c>
      <c r="P36" s="279"/>
      <c r="R36" s="244"/>
      <c r="S36" s="244"/>
      <c r="T36" s="244"/>
      <c r="U36" s="244"/>
    </row>
    <row r="37" spans="3:21">
      <c r="C37" s="496">
        <f>IF(D11="","-",+C36+1)</f>
        <v>2036</v>
      </c>
      <c r="D37" s="511">
        <f>IF(F36+SUM(E$17:E36)=D$10,F36,D$10-SUM(E$17:E36))</f>
        <v>31154894.996928416</v>
      </c>
      <c r="E37" s="510">
        <f>IF(+I14&lt;F36,I14,D37)</f>
        <v>2007278.5</v>
      </c>
      <c r="F37" s="511">
        <f t="shared" si="6"/>
        <v>29147616.496928416</v>
      </c>
      <c r="G37" s="512">
        <f t="shared" si="7"/>
        <v>5215889.1680966849</v>
      </c>
      <c r="H37" s="478">
        <f t="shared" si="8"/>
        <v>5215889.1680966849</v>
      </c>
      <c r="I37" s="501">
        <f t="shared" si="0"/>
        <v>0</v>
      </c>
      <c r="J37" s="501"/>
      <c r="K37" s="513"/>
      <c r="L37" s="505">
        <f t="shared" si="9"/>
        <v>0</v>
      </c>
      <c r="M37" s="513"/>
      <c r="N37" s="505">
        <f t="shared" si="4"/>
        <v>0</v>
      </c>
      <c r="O37" s="505">
        <f t="shared" si="5"/>
        <v>0</v>
      </c>
      <c r="P37" s="279"/>
      <c r="R37" s="244"/>
      <c r="S37" s="244"/>
      <c r="T37" s="244"/>
      <c r="U37" s="244"/>
    </row>
    <row r="38" spans="3:21">
      <c r="C38" s="496">
        <f>IF(D11="","-",+C37+1)</f>
        <v>2037</v>
      </c>
      <c r="D38" s="511">
        <f>IF(F37+SUM(E$17:E37)=D$10,F37,D$10-SUM(E$17:E37))</f>
        <v>29147616.496928416</v>
      </c>
      <c r="E38" s="510">
        <f>IF(+I14&lt;F37,I14,D38)</f>
        <v>2007278.5</v>
      </c>
      <c r="F38" s="511">
        <f t="shared" si="6"/>
        <v>27140337.996928416</v>
      </c>
      <c r="G38" s="512">
        <f t="shared" si="7"/>
        <v>5002280.313361099</v>
      </c>
      <c r="H38" s="478">
        <f t="shared" si="8"/>
        <v>5002280.313361099</v>
      </c>
      <c r="I38" s="501">
        <f t="shared" si="0"/>
        <v>0</v>
      </c>
      <c r="J38" s="501"/>
      <c r="K38" s="513"/>
      <c r="L38" s="505">
        <f t="shared" si="9"/>
        <v>0</v>
      </c>
      <c r="M38" s="513"/>
      <c r="N38" s="505">
        <f t="shared" si="4"/>
        <v>0</v>
      </c>
      <c r="O38" s="505">
        <f t="shared" si="5"/>
        <v>0</v>
      </c>
      <c r="P38" s="279"/>
      <c r="R38" s="244"/>
      <c r="S38" s="244"/>
      <c r="T38" s="244"/>
      <c r="U38" s="244"/>
    </row>
    <row r="39" spans="3:21">
      <c r="C39" s="496">
        <f>IF(D11="","-",+C38+1)</f>
        <v>2038</v>
      </c>
      <c r="D39" s="511">
        <f>IF(F38+SUM(E$17:E38)=D$10,F38,D$10-SUM(E$17:E38))</f>
        <v>27140337.996928416</v>
      </c>
      <c r="E39" s="510">
        <f>IF(+I14&lt;F38,I14,D39)</f>
        <v>2007278.5</v>
      </c>
      <c r="F39" s="511">
        <f t="shared" si="6"/>
        <v>25133059.496928416</v>
      </c>
      <c r="G39" s="512">
        <f t="shared" si="7"/>
        <v>4788671.4586255141</v>
      </c>
      <c r="H39" s="478">
        <f t="shared" si="8"/>
        <v>4788671.4586255141</v>
      </c>
      <c r="I39" s="501">
        <f t="shared" si="0"/>
        <v>0</v>
      </c>
      <c r="J39" s="501"/>
      <c r="K39" s="513"/>
      <c r="L39" s="505">
        <f t="shared" si="9"/>
        <v>0</v>
      </c>
      <c r="M39" s="513"/>
      <c r="N39" s="505">
        <f t="shared" si="4"/>
        <v>0</v>
      </c>
      <c r="O39" s="505">
        <f t="shared" si="5"/>
        <v>0</v>
      </c>
      <c r="P39" s="279"/>
      <c r="R39" s="244"/>
      <c r="S39" s="244"/>
      <c r="T39" s="244"/>
      <c r="U39" s="244"/>
    </row>
    <row r="40" spans="3:21">
      <c r="C40" s="496">
        <f>IF(D11="","-",+C39+1)</f>
        <v>2039</v>
      </c>
      <c r="D40" s="511">
        <f>IF(F39+SUM(E$17:E39)=D$10,F39,D$10-SUM(E$17:E39))</f>
        <v>25133059.496928416</v>
      </c>
      <c r="E40" s="510">
        <f>IF(+I14&lt;F39,I14,D40)</f>
        <v>2007278.5</v>
      </c>
      <c r="F40" s="511">
        <f t="shared" si="6"/>
        <v>23125780.996928416</v>
      </c>
      <c r="G40" s="512">
        <f t="shared" si="7"/>
        <v>4575062.6038899291</v>
      </c>
      <c r="H40" s="478">
        <f t="shared" si="8"/>
        <v>4575062.6038899291</v>
      </c>
      <c r="I40" s="501">
        <f t="shared" si="0"/>
        <v>0</v>
      </c>
      <c r="J40" s="501"/>
      <c r="K40" s="513"/>
      <c r="L40" s="505">
        <f t="shared" si="9"/>
        <v>0</v>
      </c>
      <c r="M40" s="513"/>
      <c r="N40" s="505">
        <f t="shared" si="4"/>
        <v>0</v>
      </c>
      <c r="O40" s="505">
        <f t="shared" si="5"/>
        <v>0</v>
      </c>
      <c r="P40" s="279"/>
      <c r="R40" s="244"/>
      <c r="S40" s="244"/>
      <c r="T40" s="244"/>
      <c r="U40" s="244"/>
    </row>
    <row r="41" spans="3:21">
      <c r="C41" s="496">
        <f>IF(D12="","-",+C40+1)</f>
        <v>2040</v>
      </c>
      <c r="D41" s="511">
        <f>IF(F40+SUM(E$17:E40)=D$10,F40,D$10-SUM(E$17:E40))</f>
        <v>23125780.996928416</v>
      </c>
      <c r="E41" s="510">
        <f>IF(+I14&lt;F40,I14,D41)</f>
        <v>2007278.5</v>
      </c>
      <c r="F41" s="511">
        <f t="shared" si="6"/>
        <v>21118502.496928416</v>
      </c>
      <c r="G41" s="512">
        <f t="shared" si="7"/>
        <v>4361453.7491543442</v>
      </c>
      <c r="H41" s="478">
        <f t="shared" si="8"/>
        <v>4361453.7491543442</v>
      </c>
      <c r="I41" s="501">
        <f t="shared" si="0"/>
        <v>0</v>
      </c>
      <c r="J41" s="501"/>
      <c r="K41" s="513"/>
      <c r="L41" s="505">
        <f t="shared" si="9"/>
        <v>0</v>
      </c>
      <c r="M41" s="513"/>
      <c r="N41" s="505">
        <f t="shared" si="4"/>
        <v>0</v>
      </c>
      <c r="O41" s="505">
        <f t="shared" si="5"/>
        <v>0</v>
      </c>
      <c r="P41" s="279"/>
      <c r="R41" s="244"/>
      <c r="S41" s="244"/>
      <c r="T41" s="244"/>
      <c r="U41" s="244"/>
    </row>
    <row r="42" spans="3:21">
      <c r="C42" s="496">
        <f>IF(D13="","-",+C41+1)</f>
        <v>2041</v>
      </c>
      <c r="D42" s="511">
        <f>IF(F41+SUM(E$17:E41)=D$10,F41,D$10-SUM(E$17:E41))</f>
        <v>21118502.496928416</v>
      </c>
      <c r="E42" s="510">
        <f>IF(+I14&lt;F41,I14,D42)</f>
        <v>2007278.5</v>
      </c>
      <c r="F42" s="511">
        <f t="shared" si="6"/>
        <v>19111223.996928416</v>
      </c>
      <c r="G42" s="512">
        <f t="shared" si="7"/>
        <v>4147844.8944187588</v>
      </c>
      <c r="H42" s="478">
        <f t="shared" si="8"/>
        <v>4147844.8944187588</v>
      </c>
      <c r="I42" s="501">
        <f t="shared" si="0"/>
        <v>0</v>
      </c>
      <c r="J42" s="501"/>
      <c r="K42" s="513"/>
      <c r="L42" s="505">
        <f t="shared" si="9"/>
        <v>0</v>
      </c>
      <c r="M42" s="513"/>
      <c r="N42" s="505">
        <f t="shared" si="4"/>
        <v>0</v>
      </c>
      <c r="O42" s="505">
        <f t="shared" si="5"/>
        <v>0</v>
      </c>
      <c r="P42" s="279"/>
      <c r="R42" s="244"/>
      <c r="S42" s="244"/>
      <c r="T42" s="244"/>
      <c r="U42" s="244"/>
    </row>
    <row r="43" spans="3:21">
      <c r="C43" s="496">
        <f>IF(D14="","-",+C42+1)</f>
        <v>2042</v>
      </c>
      <c r="D43" s="511">
        <f>IF(F42+SUM(E$17:E42)=D$10,F42,D$10-SUM(E$17:E42))</f>
        <v>19111223.996928416</v>
      </c>
      <c r="E43" s="510">
        <f>IF(+I14&lt;F42,I14,D43)</f>
        <v>2007278.5</v>
      </c>
      <c r="F43" s="511">
        <f t="shared" si="6"/>
        <v>17103945.496928416</v>
      </c>
      <c r="G43" s="512">
        <f t="shared" si="7"/>
        <v>3934236.0396831734</v>
      </c>
      <c r="H43" s="478">
        <f t="shared" si="8"/>
        <v>3934236.0396831734</v>
      </c>
      <c r="I43" s="501">
        <f t="shared" si="0"/>
        <v>0</v>
      </c>
      <c r="J43" s="501"/>
      <c r="K43" s="513"/>
      <c r="L43" s="505">
        <f t="shared" si="9"/>
        <v>0</v>
      </c>
      <c r="M43" s="513"/>
      <c r="N43" s="505">
        <f t="shared" si="4"/>
        <v>0</v>
      </c>
      <c r="O43" s="505">
        <f t="shared" si="5"/>
        <v>0</v>
      </c>
      <c r="P43" s="279"/>
      <c r="R43" s="244"/>
      <c r="S43" s="244"/>
      <c r="T43" s="244"/>
      <c r="U43" s="244"/>
    </row>
    <row r="44" spans="3:21">
      <c r="C44" s="496">
        <f>IF(D11="","-",+C43+1)</f>
        <v>2043</v>
      </c>
      <c r="D44" s="511">
        <f>IF(F43+SUM(E$17:E43)=D$10,F43,D$10-SUM(E$17:E43))</f>
        <v>17103945.496928416</v>
      </c>
      <c r="E44" s="510">
        <f>IF(+I14&lt;F43,I14,D44)</f>
        <v>2007278.5</v>
      </c>
      <c r="F44" s="511">
        <f t="shared" si="6"/>
        <v>15096666.996928416</v>
      </c>
      <c r="G44" s="512">
        <f t="shared" si="7"/>
        <v>3720627.1849475885</v>
      </c>
      <c r="H44" s="478">
        <f t="shared" si="8"/>
        <v>3720627.1849475885</v>
      </c>
      <c r="I44" s="501">
        <f t="shared" si="0"/>
        <v>0</v>
      </c>
      <c r="J44" s="501"/>
      <c r="K44" s="513"/>
      <c r="L44" s="505">
        <f t="shared" si="9"/>
        <v>0</v>
      </c>
      <c r="M44" s="513"/>
      <c r="N44" s="505">
        <f t="shared" si="4"/>
        <v>0</v>
      </c>
      <c r="O44" s="505">
        <f t="shared" si="5"/>
        <v>0</v>
      </c>
      <c r="P44" s="279"/>
      <c r="R44" s="244"/>
      <c r="S44" s="244"/>
      <c r="T44" s="244"/>
      <c r="U44" s="244"/>
    </row>
    <row r="45" spans="3:21">
      <c r="C45" s="496">
        <f>IF(D11="","-",+C44+1)</f>
        <v>2044</v>
      </c>
      <c r="D45" s="511">
        <f>IF(F44+SUM(E$17:E44)=D$10,F44,D$10-SUM(E$17:E44))</f>
        <v>15096666.996928416</v>
      </c>
      <c r="E45" s="510">
        <f>IF(+I14&lt;F44,I14,D45)</f>
        <v>2007278.5</v>
      </c>
      <c r="F45" s="511">
        <f t="shared" si="6"/>
        <v>13089388.496928416</v>
      </c>
      <c r="G45" s="512">
        <f t="shared" si="7"/>
        <v>3507018.3302120026</v>
      </c>
      <c r="H45" s="478">
        <f t="shared" si="8"/>
        <v>3507018.3302120026</v>
      </c>
      <c r="I45" s="501">
        <f t="shared" si="0"/>
        <v>0</v>
      </c>
      <c r="J45" s="501"/>
      <c r="K45" s="513"/>
      <c r="L45" s="505">
        <f t="shared" si="9"/>
        <v>0</v>
      </c>
      <c r="M45" s="513"/>
      <c r="N45" s="505">
        <f t="shared" si="4"/>
        <v>0</v>
      </c>
      <c r="O45" s="505">
        <f t="shared" si="5"/>
        <v>0</v>
      </c>
      <c r="P45" s="279"/>
      <c r="R45" s="244"/>
      <c r="S45" s="244"/>
      <c r="T45" s="244"/>
      <c r="U45" s="244"/>
    </row>
    <row r="46" spans="3:21">
      <c r="C46" s="496">
        <f>IF(D11="","-",+C45+1)</f>
        <v>2045</v>
      </c>
      <c r="D46" s="511">
        <f>IF(F45+SUM(E$17:E45)=D$10,F45,D$10-SUM(E$17:E45))</f>
        <v>13089388.496928416</v>
      </c>
      <c r="E46" s="510">
        <f>IF(+I14&lt;F45,I14,D46)</f>
        <v>2007278.5</v>
      </c>
      <c r="F46" s="511">
        <f t="shared" si="6"/>
        <v>11082109.996928416</v>
      </c>
      <c r="G46" s="512">
        <f t="shared" si="7"/>
        <v>3293409.4754764177</v>
      </c>
      <c r="H46" s="478">
        <f t="shared" si="8"/>
        <v>3293409.4754764177</v>
      </c>
      <c r="I46" s="501">
        <f t="shared" si="0"/>
        <v>0</v>
      </c>
      <c r="J46" s="501"/>
      <c r="K46" s="513"/>
      <c r="L46" s="505">
        <f t="shared" si="9"/>
        <v>0</v>
      </c>
      <c r="M46" s="513"/>
      <c r="N46" s="505">
        <f t="shared" si="4"/>
        <v>0</v>
      </c>
      <c r="O46" s="505">
        <f t="shared" si="5"/>
        <v>0</v>
      </c>
      <c r="P46" s="279"/>
      <c r="R46" s="244"/>
      <c r="S46" s="244"/>
      <c r="T46" s="244"/>
      <c r="U46" s="244"/>
    </row>
    <row r="47" spans="3:21">
      <c r="C47" s="496">
        <f>IF(D11="","-",+C46+1)</f>
        <v>2046</v>
      </c>
      <c r="D47" s="511">
        <f>IF(F46+SUM(E$17:E46)=D$10,F46,D$10-SUM(E$17:E46))</f>
        <v>11082109.996928416</v>
      </c>
      <c r="E47" s="510">
        <f>IF(+I14&lt;F46,I14,D47)</f>
        <v>2007278.5</v>
      </c>
      <c r="F47" s="511">
        <f t="shared" si="6"/>
        <v>9074831.4969284162</v>
      </c>
      <c r="G47" s="512">
        <f t="shared" si="7"/>
        <v>3079800.6207408328</v>
      </c>
      <c r="H47" s="478">
        <f t="shared" si="8"/>
        <v>3079800.6207408328</v>
      </c>
      <c r="I47" s="501">
        <f t="shared" si="0"/>
        <v>0</v>
      </c>
      <c r="J47" s="501"/>
      <c r="K47" s="513"/>
      <c r="L47" s="505">
        <f t="shared" si="9"/>
        <v>0</v>
      </c>
      <c r="M47" s="513"/>
      <c r="N47" s="505">
        <f t="shared" si="4"/>
        <v>0</v>
      </c>
      <c r="O47" s="505">
        <f t="shared" si="5"/>
        <v>0</v>
      </c>
      <c r="P47" s="279"/>
      <c r="R47" s="244"/>
      <c r="S47" s="244"/>
      <c r="T47" s="244"/>
      <c r="U47" s="244"/>
    </row>
    <row r="48" spans="3:21">
      <c r="C48" s="496">
        <f>IF(D11="","-",+C47+1)</f>
        <v>2047</v>
      </c>
      <c r="D48" s="511">
        <f>IF(F47+SUM(E$17:E47)=D$10,F47,D$10-SUM(E$17:E47))</f>
        <v>9074831.4969284162</v>
      </c>
      <c r="E48" s="510">
        <f>IF(+I14&lt;F47,I14,D48)</f>
        <v>2007278.5</v>
      </c>
      <c r="F48" s="511">
        <f t="shared" si="6"/>
        <v>7067552.9969284162</v>
      </c>
      <c r="G48" s="512">
        <f t="shared" si="7"/>
        <v>2866191.7660052474</v>
      </c>
      <c r="H48" s="478">
        <f t="shared" si="8"/>
        <v>2866191.7660052474</v>
      </c>
      <c r="I48" s="501">
        <f t="shared" si="0"/>
        <v>0</v>
      </c>
      <c r="J48" s="501"/>
      <c r="K48" s="513"/>
      <c r="L48" s="505">
        <f t="shared" si="9"/>
        <v>0</v>
      </c>
      <c r="M48" s="513"/>
      <c r="N48" s="505">
        <f t="shared" si="4"/>
        <v>0</v>
      </c>
      <c r="O48" s="505">
        <f t="shared" si="5"/>
        <v>0</v>
      </c>
      <c r="P48" s="279"/>
      <c r="R48" s="244"/>
      <c r="S48" s="244"/>
      <c r="T48" s="244"/>
      <c r="U48" s="244"/>
    </row>
    <row r="49" spans="3:21">
      <c r="C49" s="496">
        <f>IF(D11="","-",+C48+1)</f>
        <v>2048</v>
      </c>
      <c r="D49" s="511">
        <f>IF(F48+SUM(E$17:E48)=D$10,F48,D$10-SUM(E$17:E48))</f>
        <v>7067552.9969284162</v>
      </c>
      <c r="E49" s="510">
        <f>IF(+I14&lt;F48,I14,D49)</f>
        <v>2007278.5</v>
      </c>
      <c r="F49" s="511">
        <f t="shared" si="6"/>
        <v>5060274.4969284162</v>
      </c>
      <c r="G49" s="512">
        <f t="shared" si="7"/>
        <v>2652582.911269662</v>
      </c>
      <c r="H49" s="478">
        <f t="shared" si="8"/>
        <v>2652582.911269662</v>
      </c>
      <c r="I49" s="501">
        <f t="shared" si="0"/>
        <v>0</v>
      </c>
      <c r="J49" s="501"/>
      <c r="K49" s="513"/>
      <c r="L49" s="505">
        <f t="shared" si="9"/>
        <v>0</v>
      </c>
      <c r="M49" s="513"/>
      <c r="N49" s="505">
        <f t="shared" si="4"/>
        <v>0</v>
      </c>
      <c r="O49" s="505">
        <f t="shared" si="5"/>
        <v>0</v>
      </c>
      <c r="P49" s="279"/>
      <c r="R49" s="244"/>
      <c r="S49" s="244"/>
      <c r="T49" s="244"/>
      <c r="U49" s="244"/>
    </row>
    <row r="50" spans="3:21">
      <c r="C50" s="496">
        <f>IF(D11="","-",+C49+1)</f>
        <v>2049</v>
      </c>
      <c r="D50" s="511">
        <f>IF(F49+SUM(E$17:E49)=D$10,F49,D$10-SUM(E$17:E49))</f>
        <v>5060274.4969284162</v>
      </c>
      <c r="E50" s="510">
        <f>IF(+I14&lt;F49,I14,D50)</f>
        <v>2007278.5</v>
      </c>
      <c r="F50" s="511">
        <f t="shared" si="6"/>
        <v>3052995.9969284162</v>
      </c>
      <c r="G50" s="512">
        <f t="shared" si="7"/>
        <v>2438974.056534077</v>
      </c>
      <c r="H50" s="478">
        <f t="shared" si="8"/>
        <v>2438974.056534077</v>
      </c>
      <c r="I50" s="501">
        <f t="shared" si="0"/>
        <v>0</v>
      </c>
      <c r="J50" s="501"/>
      <c r="K50" s="513"/>
      <c r="L50" s="505">
        <f t="shared" si="9"/>
        <v>0</v>
      </c>
      <c r="M50" s="513"/>
      <c r="N50" s="505">
        <f t="shared" si="4"/>
        <v>0</v>
      </c>
      <c r="O50" s="505">
        <f t="shared" si="5"/>
        <v>0</v>
      </c>
      <c r="P50" s="279"/>
      <c r="R50" s="244"/>
      <c r="S50" s="244"/>
      <c r="T50" s="244"/>
      <c r="U50" s="244"/>
    </row>
    <row r="51" spans="3:21">
      <c r="C51" s="496">
        <f>IF(D11="","-",+C50+1)</f>
        <v>2050</v>
      </c>
      <c r="D51" s="511">
        <f>IF(F50+SUM(E$17:E50)=D$10,F50,D$10-SUM(E$17:E50))</f>
        <v>3052995.9969284162</v>
      </c>
      <c r="E51" s="510">
        <f>IF(+I14&lt;F50,I14,D51)</f>
        <v>2007278.5</v>
      </c>
      <c r="F51" s="511">
        <f t="shared" si="6"/>
        <v>1045717.4969284162</v>
      </c>
      <c r="G51" s="512">
        <f t="shared" si="7"/>
        <v>2225365.2017984916</v>
      </c>
      <c r="H51" s="478">
        <f t="shared" si="8"/>
        <v>2225365.2017984916</v>
      </c>
      <c r="I51" s="501">
        <f t="shared" si="0"/>
        <v>0</v>
      </c>
      <c r="J51" s="501"/>
      <c r="K51" s="513"/>
      <c r="L51" s="505">
        <f t="shared" si="9"/>
        <v>0</v>
      </c>
      <c r="M51" s="513"/>
      <c r="N51" s="505">
        <f t="shared" si="4"/>
        <v>0</v>
      </c>
      <c r="O51" s="505">
        <f t="shared" si="5"/>
        <v>0</v>
      </c>
      <c r="P51" s="279"/>
      <c r="R51" s="244"/>
      <c r="S51" s="244"/>
      <c r="T51" s="244"/>
      <c r="U51" s="244"/>
    </row>
    <row r="52" spans="3:21">
      <c r="C52" s="496">
        <f>IF(D11="","-",+C51+1)</f>
        <v>2051</v>
      </c>
      <c r="D52" s="511">
        <f>IF(F51+SUM(E$17:E51)=D$10,F51,D$10-SUM(E$17:E51))</f>
        <v>1045717.4969284162</v>
      </c>
      <c r="E52" s="510">
        <f>IF(+I14&lt;F51,I14,D52)</f>
        <v>1045717.4969284162</v>
      </c>
      <c r="F52" s="511">
        <f t="shared" si="6"/>
        <v>0</v>
      </c>
      <c r="G52" s="512">
        <f t="shared" si="7"/>
        <v>1101358.6341437658</v>
      </c>
      <c r="H52" s="478">
        <f t="shared" si="8"/>
        <v>1101358.6341437658</v>
      </c>
      <c r="I52" s="501">
        <f t="shared" si="0"/>
        <v>0</v>
      </c>
      <c r="J52" s="501"/>
      <c r="K52" s="513"/>
      <c r="L52" s="505">
        <f t="shared" si="9"/>
        <v>0</v>
      </c>
      <c r="M52" s="513"/>
      <c r="N52" s="505">
        <f t="shared" si="4"/>
        <v>0</v>
      </c>
      <c r="O52" s="505">
        <f t="shared" si="5"/>
        <v>0</v>
      </c>
      <c r="P52" s="279"/>
      <c r="R52" s="244"/>
      <c r="S52" s="244"/>
      <c r="T52" s="244"/>
      <c r="U52" s="244"/>
    </row>
    <row r="53" spans="3:21">
      <c r="C53" s="496">
        <f>IF(D11="","-",+C52+1)</f>
        <v>2052</v>
      </c>
      <c r="D53" s="511">
        <f>IF(F52+SUM(E$17:E52)=D$10,F52,D$10-SUM(E$17:E52))</f>
        <v>0</v>
      </c>
      <c r="E53" s="510">
        <f>IF(+I14&lt;F52,I14,D53)</f>
        <v>0</v>
      </c>
      <c r="F53" s="511">
        <f t="shared" si="6"/>
        <v>0</v>
      </c>
      <c r="G53" s="512">
        <f t="shared" si="7"/>
        <v>0</v>
      </c>
      <c r="H53" s="478">
        <f t="shared" si="8"/>
        <v>0</v>
      </c>
      <c r="I53" s="501">
        <f t="shared" si="0"/>
        <v>0</v>
      </c>
      <c r="J53" s="501"/>
      <c r="K53" s="513"/>
      <c r="L53" s="505">
        <f t="shared" si="9"/>
        <v>0</v>
      </c>
      <c r="M53" s="513"/>
      <c r="N53" s="505">
        <f t="shared" si="4"/>
        <v>0</v>
      </c>
      <c r="O53" s="505">
        <f t="shared" si="5"/>
        <v>0</v>
      </c>
      <c r="P53" s="279"/>
      <c r="R53" s="244"/>
      <c r="S53" s="244"/>
      <c r="T53" s="244"/>
      <c r="U53" s="244"/>
    </row>
    <row r="54" spans="3:21">
      <c r="C54" s="496">
        <f>IF(D11="","-",+C53+1)</f>
        <v>2053</v>
      </c>
      <c r="D54" s="511">
        <f>IF(F53+SUM(E$17:E53)=D$10,F53,D$10-SUM(E$17:E53))</f>
        <v>0</v>
      </c>
      <c r="E54" s="510">
        <f>IF(+I14&lt;F53,I14,D54)</f>
        <v>0</v>
      </c>
      <c r="F54" s="511">
        <f t="shared" si="6"/>
        <v>0</v>
      </c>
      <c r="G54" s="512">
        <f t="shared" si="7"/>
        <v>0</v>
      </c>
      <c r="H54" s="478">
        <f t="shared" si="8"/>
        <v>0</v>
      </c>
      <c r="I54" s="501">
        <f t="shared" si="0"/>
        <v>0</v>
      </c>
      <c r="J54" s="501"/>
      <c r="K54" s="513"/>
      <c r="L54" s="505">
        <f t="shared" si="9"/>
        <v>0</v>
      </c>
      <c r="M54" s="513"/>
      <c r="N54" s="505">
        <f t="shared" si="4"/>
        <v>0</v>
      </c>
      <c r="O54" s="505">
        <f t="shared" si="5"/>
        <v>0</v>
      </c>
      <c r="P54" s="279"/>
      <c r="R54" s="244"/>
      <c r="S54" s="244"/>
      <c r="T54" s="244"/>
      <c r="U54" s="244"/>
    </row>
    <row r="55" spans="3:21">
      <c r="C55" s="496">
        <f>IF(D11="","-",+C54+1)</f>
        <v>2054</v>
      </c>
      <c r="D55" s="511">
        <f>IF(F54+SUM(E$17:E54)=D$10,F54,D$10-SUM(E$17:E54))</f>
        <v>0</v>
      </c>
      <c r="E55" s="510">
        <f>IF(+I14&lt;F54,I14,D55)</f>
        <v>0</v>
      </c>
      <c r="F55" s="511">
        <f t="shared" si="6"/>
        <v>0</v>
      </c>
      <c r="G55" s="512">
        <f t="shared" si="7"/>
        <v>0</v>
      </c>
      <c r="H55" s="478">
        <f t="shared" si="8"/>
        <v>0</v>
      </c>
      <c r="I55" s="501">
        <f t="shared" si="0"/>
        <v>0</v>
      </c>
      <c r="J55" s="501"/>
      <c r="K55" s="513"/>
      <c r="L55" s="505">
        <f t="shared" si="9"/>
        <v>0</v>
      </c>
      <c r="M55" s="513"/>
      <c r="N55" s="505">
        <f t="shared" si="4"/>
        <v>0</v>
      </c>
      <c r="O55" s="505">
        <f t="shared" si="5"/>
        <v>0</v>
      </c>
      <c r="P55" s="279"/>
      <c r="R55" s="244"/>
      <c r="S55" s="244"/>
      <c r="T55" s="244"/>
      <c r="U55" s="244"/>
    </row>
    <row r="56" spans="3:21">
      <c r="C56" s="496">
        <f>IF(D11="","-",+C55+1)</f>
        <v>2055</v>
      </c>
      <c r="D56" s="511">
        <f>IF(F55+SUM(E$17:E55)=D$10,F55,D$10-SUM(E$17:E55))</f>
        <v>0</v>
      </c>
      <c r="E56" s="510">
        <f>IF(+I14&lt;F55,I14,D56)</f>
        <v>0</v>
      </c>
      <c r="F56" s="511">
        <f t="shared" si="6"/>
        <v>0</v>
      </c>
      <c r="G56" s="512">
        <f t="shared" si="7"/>
        <v>0</v>
      </c>
      <c r="H56" s="478">
        <f t="shared" si="8"/>
        <v>0</v>
      </c>
      <c r="I56" s="501">
        <f t="shared" si="0"/>
        <v>0</v>
      </c>
      <c r="J56" s="501"/>
      <c r="K56" s="513"/>
      <c r="L56" s="505">
        <f t="shared" si="9"/>
        <v>0</v>
      </c>
      <c r="M56" s="513"/>
      <c r="N56" s="505">
        <f t="shared" si="4"/>
        <v>0</v>
      </c>
      <c r="O56" s="505">
        <f t="shared" si="5"/>
        <v>0</v>
      </c>
      <c r="P56" s="279"/>
      <c r="R56" s="244"/>
      <c r="S56" s="244"/>
      <c r="T56" s="244"/>
      <c r="U56" s="244"/>
    </row>
    <row r="57" spans="3:21">
      <c r="C57" s="496">
        <f>IF(D11="","-",+C56+1)</f>
        <v>2056</v>
      </c>
      <c r="D57" s="511">
        <f>IF(F56+SUM(E$17:E56)=D$10,F56,D$10-SUM(E$17:E56))</f>
        <v>0</v>
      </c>
      <c r="E57" s="510">
        <f>IF(+I14&lt;F56,I14,D57)</f>
        <v>0</v>
      </c>
      <c r="F57" s="511">
        <f t="shared" si="6"/>
        <v>0</v>
      </c>
      <c r="G57" s="512">
        <f t="shared" si="7"/>
        <v>0</v>
      </c>
      <c r="H57" s="478">
        <f t="shared" si="8"/>
        <v>0</v>
      </c>
      <c r="I57" s="501">
        <f t="shared" si="0"/>
        <v>0</v>
      </c>
      <c r="J57" s="501"/>
      <c r="K57" s="513"/>
      <c r="L57" s="505">
        <f t="shared" si="9"/>
        <v>0</v>
      </c>
      <c r="M57" s="513"/>
      <c r="N57" s="505">
        <f t="shared" si="4"/>
        <v>0</v>
      </c>
      <c r="O57" s="505">
        <f t="shared" si="5"/>
        <v>0</v>
      </c>
      <c r="P57" s="279"/>
      <c r="R57" s="244"/>
      <c r="S57" s="244"/>
      <c r="T57" s="244"/>
      <c r="U57" s="244"/>
    </row>
    <row r="58" spans="3:21">
      <c r="C58" s="496">
        <f>IF(D11="","-",+C57+1)</f>
        <v>2057</v>
      </c>
      <c r="D58" s="511">
        <f>IF(F57+SUM(E$17:E57)=D$10,F57,D$10-SUM(E$17:E57))</f>
        <v>0</v>
      </c>
      <c r="E58" s="510">
        <f>IF(+I14&lt;F57,I14,D58)</f>
        <v>0</v>
      </c>
      <c r="F58" s="511">
        <f t="shared" si="6"/>
        <v>0</v>
      </c>
      <c r="G58" s="512">
        <f t="shared" si="7"/>
        <v>0</v>
      </c>
      <c r="H58" s="478">
        <f t="shared" si="8"/>
        <v>0</v>
      </c>
      <c r="I58" s="501">
        <f t="shared" si="0"/>
        <v>0</v>
      </c>
      <c r="J58" s="501"/>
      <c r="K58" s="513"/>
      <c r="L58" s="505">
        <f t="shared" si="9"/>
        <v>0</v>
      </c>
      <c r="M58" s="513"/>
      <c r="N58" s="505">
        <f t="shared" si="4"/>
        <v>0</v>
      </c>
      <c r="O58" s="505">
        <f t="shared" si="5"/>
        <v>0</v>
      </c>
      <c r="P58" s="279"/>
      <c r="R58" s="244"/>
      <c r="S58" s="244"/>
      <c r="T58" s="244"/>
      <c r="U58" s="244"/>
    </row>
    <row r="59" spans="3:21">
      <c r="C59" s="496">
        <f>IF(D11="","-",+C58+1)</f>
        <v>2058</v>
      </c>
      <c r="D59" s="511">
        <f>IF(F58+SUM(E$17:E58)=D$10,F58,D$10-SUM(E$17:E58))</f>
        <v>0</v>
      </c>
      <c r="E59" s="510">
        <f>IF(+I14&lt;F58,I14,D59)</f>
        <v>0</v>
      </c>
      <c r="F59" s="511">
        <f t="shared" si="6"/>
        <v>0</v>
      </c>
      <c r="G59" s="512">
        <f t="shared" si="7"/>
        <v>0</v>
      </c>
      <c r="H59" s="478">
        <f t="shared" si="8"/>
        <v>0</v>
      </c>
      <c r="I59" s="501">
        <f t="shared" si="0"/>
        <v>0</v>
      </c>
      <c r="J59" s="501"/>
      <c r="K59" s="513"/>
      <c r="L59" s="505">
        <f t="shared" si="9"/>
        <v>0</v>
      </c>
      <c r="M59" s="513"/>
      <c r="N59" s="505">
        <f t="shared" si="4"/>
        <v>0</v>
      </c>
      <c r="O59" s="505">
        <f t="shared" si="5"/>
        <v>0</v>
      </c>
      <c r="P59" s="279"/>
      <c r="R59" s="244"/>
      <c r="S59" s="244"/>
      <c r="T59" s="244"/>
      <c r="U59" s="244"/>
    </row>
    <row r="60" spans="3:21">
      <c r="C60" s="496">
        <f>IF(D11="","-",+C59+1)</f>
        <v>2059</v>
      </c>
      <c r="D60" s="511">
        <f>IF(F59+SUM(E$17:E59)=D$10,F59,D$10-SUM(E$17:E59))</f>
        <v>0</v>
      </c>
      <c r="E60" s="510">
        <f>IF(+I14&lt;F59,I14,D60)</f>
        <v>0</v>
      </c>
      <c r="F60" s="511">
        <f t="shared" si="6"/>
        <v>0</v>
      </c>
      <c r="G60" s="512">
        <f t="shared" si="7"/>
        <v>0</v>
      </c>
      <c r="H60" s="478">
        <f t="shared" si="8"/>
        <v>0</v>
      </c>
      <c r="I60" s="501">
        <f t="shared" si="0"/>
        <v>0</v>
      </c>
      <c r="J60" s="501"/>
      <c r="K60" s="513"/>
      <c r="L60" s="505">
        <f t="shared" si="9"/>
        <v>0</v>
      </c>
      <c r="M60" s="513"/>
      <c r="N60" s="505">
        <f t="shared" si="4"/>
        <v>0</v>
      </c>
      <c r="O60" s="505">
        <f t="shared" si="5"/>
        <v>0</v>
      </c>
      <c r="P60" s="279"/>
      <c r="R60" s="244"/>
      <c r="S60" s="244"/>
      <c r="T60" s="244"/>
      <c r="U60" s="244"/>
    </row>
    <row r="61" spans="3:21">
      <c r="C61" s="496">
        <f>IF(D11="","-",+C60+1)</f>
        <v>2060</v>
      </c>
      <c r="D61" s="511">
        <f>IF(F60+SUM(E$17:E60)=D$10,F60,D$10-SUM(E$17:E60))</f>
        <v>0</v>
      </c>
      <c r="E61" s="510">
        <f>IF(+I14&lt;F60,I14,D61)</f>
        <v>0</v>
      </c>
      <c r="F61" s="511">
        <f t="shared" si="6"/>
        <v>0</v>
      </c>
      <c r="G61" s="512">
        <f t="shared" si="7"/>
        <v>0</v>
      </c>
      <c r="H61" s="478">
        <f t="shared" si="8"/>
        <v>0</v>
      </c>
      <c r="I61" s="501">
        <f t="shared" si="0"/>
        <v>0</v>
      </c>
      <c r="J61" s="501"/>
      <c r="K61" s="513"/>
      <c r="L61" s="505">
        <f t="shared" si="9"/>
        <v>0</v>
      </c>
      <c r="M61" s="513"/>
      <c r="N61" s="505">
        <f t="shared" si="4"/>
        <v>0</v>
      </c>
      <c r="O61" s="505">
        <f t="shared" si="5"/>
        <v>0</v>
      </c>
      <c r="P61" s="279"/>
      <c r="R61" s="244"/>
      <c r="S61" s="244"/>
      <c r="T61" s="244"/>
      <c r="U61" s="244"/>
    </row>
    <row r="62" spans="3:21">
      <c r="C62" s="496">
        <f>IF(D11="","-",+C61+1)</f>
        <v>2061</v>
      </c>
      <c r="D62" s="511">
        <f>IF(F61+SUM(E$17:E61)=D$10,F61,D$10-SUM(E$17:E61))</f>
        <v>0</v>
      </c>
      <c r="E62" s="510">
        <f>IF(+I14&lt;F61,I14,D62)</f>
        <v>0</v>
      </c>
      <c r="F62" s="511">
        <f t="shared" si="6"/>
        <v>0</v>
      </c>
      <c r="G62" s="512">
        <f t="shared" si="7"/>
        <v>0</v>
      </c>
      <c r="H62" s="478">
        <f t="shared" si="8"/>
        <v>0</v>
      </c>
      <c r="I62" s="501">
        <f t="shared" si="0"/>
        <v>0</v>
      </c>
      <c r="J62" s="501"/>
      <c r="K62" s="513"/>
      <c r="L62" s="505">
        <f t="shared" si="9"/>
        <v>0</v>
      </c>
      <c r="M62" s="513"/>
      <c r="N62" s="505">
        <f t="shared" si="4"/>
        <v>0</v>
      </c>
      <c r="O62" s="505">
        <f t="shared" si="5"/>
        <v>0</v>
      </c>
      <c r="P62" s="279"/>
      <c r="R62" s="244"/>
      <c r="S62" s="244"/>
      <c r="T62" s="244"/>
      <c r="U62" s="244"/>
    </row>
    <row r="63" spans="3:21">
      <c r="C63" s="496">
        <f>IF(D11="","-",+C62+1)</f>
        <v>2062</v>
      </c>
      <c r="D63" s="511">
        <f>IF(F62+SUM(E$17:E62)=D$10,F62,D$10-SUM(E$17:E62))</f>
        <v>0</v>
      </c>
      <c r="E63" s="510">
        <f>IF(+I14&lt;F62,I14,D63)</f>
        <v>0</v>
      </c>
      <c r="F63" s="511">
        <f t="shared" si="6"/>
        <v>0</v>
      </c>
      <c r="G63" s="512">
        <f t="shared" si="7"/>
        <v>0</v>
      </c>
      <c r="H63" s="478">
        <f t="shared" si="8"/>
        <v>0</v>
      </c>
      <c r="I63" s="501">
        <f t="shared" si="0"/>
        <v>0</v>
      </c>
      <c r="J63" s="501"/>
      <c r="K63" s="513"/>
      <c r="L63" s="505">
        <f t="shared" si="9"/>
        <v>0</v>
      </c>
      <c r="M63" s="513"/>
      <c r="N63" s="505">
        <f t="shared" si="4"/>
        <v>0</v>
      </c>
      <c r="O63" s="505">
        <f t="shared" si="5"/>
        <v>0</v>
      </c>
      <c r="P63" s="279"/>
      <c r="R63" s="244"/>
      <c r="S63" s="244"/>
      <c r="T63" s="244"/>
      <c r="U63" s="244"/>
    </row>
    <row r="64" spans="3:21">
      <c r="C64" s="496">
        <f>IF(D11="","-",+C63+1)</f>
        <v>2063</v>
      </c>
      <c r="D64" s="511">
        <f>IF(F63+SUM(E$17:E63)=D$10,F63,D$10-SUM(E$17:E63))</f>
        <v>0</v>
      </c>
      <c r="E64" s="510">
        <f>IF(+I14&lt;F63,I14,D64)</f>
        <v>0</v>
      </c>
      <c r="F64" s="511">
        <f t="shared" si="6"/>
        <v>0</v>
      </c>
      <c r="G64" s="512">
        <f t="shared" si="7"/>
        <v>0</v>
      </c>
      <c r="H64" s="478">
        <f t="shared" si="8"/>
        <v>0</v>
      </c>
      <c r="I64" s="501">
        <f t="shared" si="0"/>
        <v>0</v>
      </c>
      <c r="J64" s="501"/>
      <c r="K64" s="513"/>
      <c r="L64" s="505">
        <f t="shared" si="9"/>
        <v>0</v>
      </c>
      <c r="M64" s="513"/>
      <c r="N64" s="505">
        <f t="shared" si="4"/>
        <v>0</v>
      </c>
      <c r="O64" s="505">
        <f t="shared" si="5"/>
        <v>0</v>
      </c>
      <c r="P64" s="279"/>
      <c r="R64" s="244"/>
      <c r="S64" s="244"/>
      <c r="T64" s="244"/>
      <c r="U64" s="244"/>
    </row>
    <row r="65" spans="2:21">
      <c r="C65" s="496">
        <f>IF(D11="","-",+C64+1)</f>
        <v>2064</v>
      </c>
      <c r="D65" s="511">
        <f>IF(F64+SUM(E$17:E64)=D$10,F64,D$10-SUM(E$17:E64))</f>
        <v>0</v>
      </c>
      <c r="E65" s="510">
        <f>IF(+I14&lt;F64,I14,D65)</f>
        <v>0</v>
      </c>
      <c r="F65" s="511">
        <f t="shared" si="6"/>
        <v>0</v>
      </c>
      <c r="G65" s="512">
        <f t="shared" si="7"/>
        <v>0</v>
      </c>
      <c r="H65" s="478">
        <f t="shared" si="8"/>
        <v>0</v>
      </c>
      <c r="I65" s="501">
        <f t="shared" si="0"/>
        <v>0</v>
      </c>
      <c r="J65" s="501"/>
      <c r="K65" s="513"/>
      <c r="L65" s="505">
        <f t="shared" si="9"/>
        <v>0</v>
      </c>
      <c r="M65" s="513"/>
      <c r="N65" s="505">
        <f t="shared" si="4"/>
        <v>0</v>
      </c>
      <c r="O65" s="505">
        <f t="shared" si="5"/>
        <v>0</v>
      </c>
      <c r="P65" s="279"/>
      <c r="R65" s="244"/>
      <c r="S65" s="244"/>
      <c r="T65" s="244"/>
      <c r="U65" s="244"/>
    </row>
    <row r="66" spans="2:21">
      <c r="C66" s="496">
        <f>IF(D11="","-",+C65+1)</f>
        <v>2065</v>
      </c>
      <c r="D66" s="511">
        <f>IF(F65+SUM(E$17:E65)=D$10,F65,D$10-SUM(E$17:E65))</f>
        <v>0</v>
      </c>
      <c r="E66" s="510">
        <f>IF(+I14&lt;F65,I14,D66)</f>
        <v>0</v>
      </c>
      <c r="F66" s="511">
        <f t="shared" si="6"/>
        <v>0</v>
      </c>
      <c r="G66" s="512">
        <f t="shared" si="7"/>
        <v>0</v>
      </c>
      <c r="H66" s="478">
        <f t="shared" si="8"/>
        <v>0</v>
      </c>
      <c r="I66" s="501">
        <f t="shared" si="0"/>
        <v>0</v>
      </c>
      <c r="J66" s="501"/>
      <c r="K66" s="513"/>
      <c r="L66" s="505">
        <f t="shared" si="9"/>
        <v>0</v>
      </c>
      <c r="M66" s="513"/>
      <c r="N66" s="505">
        <f t="shared" si="4"/>
        <v>0</v>
      </c>
      <c r="O66" s="505">
        <f t="shared" si="5"/>
        <v>0</v>
      </c>
      <c r="P66" s="279"/>
      <c r="R66" s="244"/>
      <c r="S66" s="244"/>
      <c r="T66" s="244"/>
      <c r="U66" s="244"/>
    </row>
    <row r="67" spans="2:21">
      <c r="C67" s="496">
        <f>IF(D11="","-",+C66+1)</f>
        <v>2066</v>
      </c>
      <c r="D67" s="511">
        <f>IF(F66+SUM(E$17:E66)=D$10,F66,D$10-SUM(E$17:E66))</f>
        <v>0</v>
      </c>
      <c r="E67" s="510">
        <f>IF(+I14&lt;F66,I14,D67)</f>
        <v>0</v>
      </c>
      <c r="F67" s="511">
        <f t="shared" si="6"/>
        <v>0</v>
      </c>
      <c r="G67" s="512">
        <f t="shared" si="7"/>
        <v>0</v>
      </c>
      <c r="H67" s="478">
        <f t="shared" si="8"/>
        <v>0</v>
      </c>
      <c r="I67" s="501">
        <f t="shared" si="0"/>
        <v>0</v>
      </c>
      <c r="J67" s="501"/>
      <c r="K67" s="513"/>
      <c r="L67" s="505">
        <f t="shared" si="9"/>
        <v>0</v>
      </c>
      <c r="M67" s="513"/>
      <c r="N67" s="505">
        <f t="shared" si="4"/>
        <v>0</v>
      </c>
      <c r="O67" s="505">
        <f t="shared" si="5"/>
        <v>0</v>
      </c>
      <c r="P67" s="279"/>
      <c r="R67" s="244"/>
      <c r="S67" s="244"/>
      <c r="T67" s="244"/>
      <c r="U67" s="244"/>
    </row>
    <row r="68" spans="2:21">
      <c r="C68" s="496">
        <f>IF(D11="","-",+C67+1)</f>
        <v>2067</v>
      </c>
      <c r="D68" s="511">
        <f>IF(F67+SUM(E$17:E67)=D$10,F67,D$10-SUM(E$17:E67))</f>
        <v>0</v>
      </c>
      <c r="E68" s="510">
        <f>IF(+I14&lt;F67,I14,D68)</f>
        <v>0</v>
      </c>
      <c r="F68" s="511">
        <f t="shared" si="6"/>
        <v>0</v>
      </c>
      <c r="G68" s="512">
        <f t="shared" si="7"/>
        <v>0</v>
      </c>
      <c r="H68" s="478">
        <f t="shared" si="8"/>
        <v>0</v>
      </c>
      <c r="I68" s="501">
        <f t="shared" si="0"/>
        <v>0</v>
      </c>
      <c r="J68" s="501"/>
      <c r="K68" s="513"/>
      <c r="L68" s="505">
        <f t="shared" si="9"/>
        <v>0</v>
      </c>
      <c r="M68" s="513"/>
      <c r="N68" s="505">
        <f t="shared" si="4"/>
        <v>0</v>
      </c>
      <c r="O68" s="505">
        <f t="shared" si="5"/>
        <v>0</v>
      </c>
      <c r="P68" s="279"/>
      <c r="R68" s="244"/>
      <c r="S68" s="244"/>
      <c r="T68" s="244"/>
      <c r="U68" s="244"/>
    </row>
    <row r="69" spans="2:21">
      <c r="C69" s="496">
        <f>IF(D11="","-",+C68+1)</f>
        <v>2068</v>
      </c>
      <c r="D69" s="511">
        <f>IF(F68+SUM(E$17:E68)=D$10,F68,D$10-SUM(E$17:E68))</f>
        <v>0</v>
      </c>
      <c r="E69" s="510">
        <f>IF(+I14&lt;F68,I14,D69)</f>
        <v>0</v>
      </c>
      <c r="F69" s="511">
        <f t="shared" si="6"/>
        <v>0</v>
      </c>
      <c r="G69" s="512">
        <f t="shared" si="7"/>
        <v>0</v>
      </c>
      <c r="H69" s="478">
        <f t="shared" si="8"/>
        <v>0</v>
      </c>
      <c r="I69" s="501">
        <f t="shared" si="0"/>
        <v>0</v>
      </c>
      <c r="J69" s="501"/>
      <c r="K69" s="513"/>
      <c r="L69" s="505">
        <f t="shared" si="9"/>
        <v>0</v>
      </c>
      <c r="M69" s="513"/>
      <c r="N69" s="505">
        <f t="shared" si="4"/>
        <v>0</v>
      </c>
      <c r="O69" s="505">
        <f t="shared" si="5"/>
        <v>0</v>
      </c>
      <c r="P69" s="279"/>
      <c r="R69" s="244"/>
      <c r="S69" s="244"/>
      <c r="T69" s="244"/>
      <c r="U69" s="244"/>
    </row>
    <row r="70" spans="2:21">
      <c r="C70" s="496">
        <f>IF(D11="","-",+C69+1)</f>
        <v>2069</v>
      </c>
      <c r="D70" s="511">
        <f>IF(F69+SUM(E$17:E69)=D$10,F69,D$10-SUM(E$17:E69))</f>
        <v>0</v>
      </c>
      <c r="E70" s="510">
        <f>IF(+I14&lt;F69,I14,D70)</f>
        <v>0</v>
      </c>
      <c r="F70" s="511">
        <f t="shared" si="6"/>
        <v>0</v>
      </c>
      <c r="G70" s="512">
        <f t="shared" si="7"/>
        <v>0</v>
      </c>
      <c r="H70" s="478">
        <f t="shared" si="8"/>
        <v>0</v>
      </c>
      <c r="I70" s="501">
        <f t="shared" si="0"/>
        <v>0</v>
      </c>
      <c r="J70" s="501"/>
      <c r="K70" s="513"/>
      <c r="L70" s="505">
        <f t="shared" si="9"/>
        <v>0</v>
      </c>
      <c r="M70" s="513"/>
      <c r="N70" s="505">
        <f t="shared" si="4"/>
        <v>0</v>
      </c>
      <c r="O70" s="505">
        <f t="shared" si="5"/>
        <v>0</v>
      </c>
      <c r="P70" s="279"/>
      <c r="R70" s="244"/>
      <c r="S70" s="244"/>
      <c r="T70" s="244"/>
      <c r="U70" s="244"/>
    </row>
    <row r="71" spans="2:21">
      <c r="C71" s="496">
        <f>IF(D11="","-",+C70+1)</f>
        <v>2070</v>
      </c>
      <c r="D71" s="511">
        <f>IF(F70+SUM(E$17:E70)=D$10,F70,D$10-SUM(E$17:E70))</f>
        <v>0</v>
      </c>
      <c r="E71" s="510">
        <f>IF(+I14&lt;F70,I14,D71)</f>
        <v>0</v>
      </c>
      <c r="F71" s="511">
        <f t="shared" si="6"/>
        <v>0</v>
      </c>
      <c r="G71" s="512">
        <f t="shared" si="7"/>
        <v>0</v>
      </c>
      <c r="H71" s="478">
        <f t="shared" si="8"/>
        <v>0</v>
      </c>
      <c r="I71" s="501">
        <f t="shared" si="0"/>
        <v>0</v>
      </c>
      <c r="J71" s="501"/>
      <c r="K71" s="513"/>
      <c r="L71" s="505">
        <f t="shared" si="9"/>
        <v>0</v>
      </c>
      <c r="M71" s="513"/>
      <c r="N71" s="505">
        <f t="shared" si="4"/>
        <v>0</v>
      </c>
      <c r="O71" s="505">
        <f t="shared" si="5"/>
        <v>0</v>
      </c>
      <c r="P71" s="279"/>
      <c r="R71" s="244"/>
      <c r="S71" s="244"/>
      <c r="T71" s="244"/>
      <c r="U71" s="244"/>
    </row>
    <row r="72" spans="2:21">
      <c r="C72" s="496">
        <f>IF(D11="","-",+C71+1)</f>
        <v>2071</v>
      </c>
      <c r="D72" s="511">
        <f>IF(F71+SUM(E$17:E71)=D$10,F71,D$10-SUM(E$17:E71))</f>
        <v>0</v>
      </c>
      <c r="E72" s="510">
        <f>IF(+I14&lt;F71,I14,D72)</f>
        <v>0</v>
      </c>
      <c r="F72" s="511">
        <f t="shared" si="6"/>
        <v>0</v>
      </c>
      <c r="G72" s="512">
        <f t="shared" si="7"/>
        <v>0</v>
      </c>
      <c r="H72" s="478">
        <f t="shared" si="8"/>
        <v>0</v>
      </c>
      <c r="I72" s="501">
        <f t="shared" si="0"/>
        <v>0</v>
      </c>
      <c r="J72" s="501"/>
      <c r="K72" s="513"/>
      <c r="L72" s="505">
        <f t="shared" si="9"/>
        <v>0</v>
      </c>
      <c r="M72" s="513"/>
      <c r="N72" s="505">
        <f t="shared" si="4"/>
        <v>0</v>
      </c>
      <c r="O72" s="505">
        <f t="shared" si="5"/>
        <v>0</v>
      </c>
      <c r="P72" s="279"/>
      <c r="R72" s="244"/>
      <c r="S72" s="244"/>
      <c r="T72" s="244"/>
      <c r="U72" s="244"/>
    </row>
    <row r="73" spans="2:21" ht="13.5" thickBot="1">
      <c r="C73" s="525">
        <f>IF(D11="","-",+C72+1)</f>
        <v>2072</v>
      </c>
      <c r="D73" s="528">
        <f>IF(F72+SUM(E$17:E72)=D$10,F72,D$10-SUM(E$17:E72))</f>
        <v>0</v>
      </c>
      <c r="E73" s="527">
        <f>IF(+I14&lt;F72,I14,D73)</f>
        <v>0</v>
      </c>
      <c r="F73" s="528">
        <f t="shared" si="6"/>
        <v>0</v>
      </c>
      <c r="G73" s="528">
        <f t="shared" si="7"/>
        <v>0</v>
      </c>
      <c r="H73" s="528">
        <f t="shared" si="8"/>
        <v>0</v>
      </c>
      <c r="I73" s="530">
        <f t="shared" si="0"/>
        <v>0</v>
      </c>
      <c r="J73" s="501"/>
      <c r="K73" s="531"/>
      <c r="L73" s="532">
        <f t="shared" si="9"/>
        <v>0</v>
      </c>
      <c r="M73" s="531"/>
      <c r="N73" s="532">
        <f t="shared" si="4"/>
        <v>0</v>
      </c>
      <c r="O73" s="532">
        <f t="shared" si="5"/>
        <v>0</v>
      </c>
      <c r="P73" s="279"/>
      <c r="R73" s="244"/>
      <c r="S73" s="244"/>
      <c r="T73" s="244"/>
      <c r="U73" s="244"/>
    </row>
    <row r="74" spans="2:21">
      <c r="C74" s="350" t="s">
        <v>75</v>
      </c>
      <c r="D74" s="295"/>
      <c r="E74" s="295">
        <f>SUM(E17:E73)</f>
        <v>68247469</v>
      </c>
      <c r="F74" s="295"/>
      <c r="G74" s="295">
        <f>SUM(G17:G73)</f>
        <v>197675095.65842888</v>
      </c>
      <c r="H74" s="295">
        <f>SUM(H17:H73)</f>
        <v>197675095.65842888</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439" t="str">
        <f ca="1">P1</f>
        <v>OKT Project 14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8692924.255398104</v>
      </c>
      <c r="N88" s="545">
        <f>IF(J93&lt;D11,0,VLOOKUP(J93,C17:O73,11))</f>
        <v>8692924.255398104</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9483884.5595619641</v>
      </c>
      <c r="N89" s="549">
        <f>IF(J93&lt;D11,0,VLOOKUP(J93,C100:P155,7))</f>
        <v>9483884.5595619641</v>
      </c>
      <c r="O89" s="550">
        <f>+N89-M89</f>
        <v>0</v>
      </c>
      <c r="P89" s="244"/>
      <c r="Q89" s="244"/>
      <c r="R89" s="244"/>
      <c r="S89" s="244"/>
      <c r="T89" s="244"/>
      <c r="U89" s="244"/>
    </row>
    <row r="90" spans="1:21" ht="13.5" thickBot="1">
      <c r="C90" s="455" t="s">
        <v>82</v>
      </c>
      <c r="D90" s="551" t="str">
        <f>+D7</f>
        <v>Valliant-NW Texarkana 345 kV</v>
      </c>
      <c r="E90" s="244"/>
      <c r="F90" s="244"/>
      <c r="G90" s="244"/>
      <c r="H90" s="244"/>
      <c r="I90" s="326"/>
      <c r="J90" s="326"/>
      <c r="K90" s="552"/>
      <c r="L90" s="553" t="s">
        <v>135</v>
      </c>
      <c r="M90" s="554">
        <f>+M89-M88</f>
        <v>790960.30416386016</v>
      </c>
      <c r="N90" s="554">
        <f>+N89-N88</f>
        <v>790960.30416386016</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 2009089</v>
      </c>
      <c r="E92" s="559"/>
      <c r="F92" s="559"/>
      <c r="G92" s="559"/>
      <c r="H92" s="559"/>
      <c r="I92" s="559"/>
      <c r="J92" s="559"/>
      <c r="K92" s="561"/>
      <c r="P92" s="469"/>
      <c r="Q92" s="244"/>
      <c r="R92" s="244"/>
      <c r="S92" s="244"/>
      <c r="T92" s="244"/>
      <c r="U92" s="244"/>
    </row>
    <row r="93" spans="1:21">
      <c r="C93" s="473" t="s">
        <v>49</v>
      </c>
      <c r="D93" s="471">
        <v>68247469</v>
      </c>
      <c r="E93" s="249" t="s">
        <v>84</v>
      </c>
      <c r="H93" s="409"/>
      <c r="I93" s="409"/>
      <c r="J93" s="472">
        <f>+'OKT.WS.G.BPU.ATRR.True-up'!M16</f>
        <v>2021</v>
      </c>
      <c r="K93" s="468"/>
      <c r="L93" s="295" t="s">
        <v>85</v>
      </c>
      <c r="P93" s="279"/>
      <c r="Q93" s="244"/>
      <c r="R93" s="244"/>
      <c r="S93" s="244"/>
      <c r="T93" s="244"/>
      <c r="U93" s="244"/>
    </row>
    <row r="94" spans="1:21">
      <c r="C94" s="473" t="s">
        <v>52</v>
      </c>
      <c r="D94" s="562">
        <f>IF(D11=I10,"",D11)</f>
        <v>2016</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12</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2729898.76</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C100" s="496">
        <f>IF(D94= "","-",D94)</f>
        <v>2016</v>
      </c>
      <c r="D100" s="497">
        <v>0</v>
      </c>
      <c r="E100" s="499">
        <v>1692714.9</v>
      </c>
      <c r="F100" s="506">
        <v>67708596</v>
      </c>
      <c r="G100" s="506">
        <v>33854298</v>
      </c>
      <c r="H100" s="499">
        <v>3668771.9731289423</v>
      </c>
      <c r="I100" s="500">
        <v>3668771.9731289423</v>
      </c>
      <c r="J100" s="505">
        <f t="shared" ref="J100:J131" si="10">+I100-H100</f>
        <v>0</v>
      </c>
      <c r="K100" s="505"/>
      <c r="L100" s="505">
        <f>+H100</f>
        <v>3668771.9731289423</v>
      </c>
      <c r="M100" s="504">
        <f t="shared" ref="M100:M131" si="11">IF(L100&lt;&gt;0,+H100-L100,0)</f>
        <v>0</v>
      </c>
      <c r="N100" s="505">
        <f>+I100</f>
        <v>3668771.9731289423</v>
      </c>
      <c r="O100" s="504">
        <f t="shared" ref="O100:O131" si="12">IF(N100&lt;&gt;0,+I100-N100,0)</f>
        <v>0</v>
      </c>
      <c r="P100" s="504">
        <f t="shared" ref="P100:P131" si="13">+O100-M100</f>
        <v>0</v>
      </c>
      <c r="Q100" s="244"/>
      <c r="R100" s="244"/>
      <c r="S100" s="244"/>
      <c r="T100" s="244"/>
      <c r="U100" s="244"/>
    </row>
    <row r="101" spans="1:21">
      <c r="C101" s="496">
        <f>IF(D94="","-",+C100+1)</f>
        <v>2017</v>
      </c>
      <c r="D101" s="497">
        <v>66537373.100000001</v>
      </c>
      <c r="E101" s="499">
        <v>1705752.2</v>
      </c>
      <c r="F101" s="506">
        <v>64831620.899999999</v>
      </c>
      <c r="G101" s="506">
        <v>65684497</v>
      </c>
      <c r="H101" s="499">
        <v>9412899.4207950477</v>
      </c>
      <c r="I101" s="500">
        <v>9412899.4207950477</v>
      </c>
      <c r="J101" s="505">
        <f t="shared" si="10"/>
        <v>0</v>
      </c>
      <c r="K101" s="505"/>
      <c r="L101" s="505">
        <f>H101</f>
        <v>9412899.4207950477</v>
      </c>
      <c r="M101" s="505">
        <f>IF(L101&lt;&gt;0,+H101-L101,0)</f>
        <v>0</v>
      </c>
      <c r="N101" s="505">
        <f>I101</f>
        <v>9412899.4207950477</v>
      </c>
      <c r="O101" s="505">
        <f>IF(N101&lt;&gt;0,+I101-N101,0)</f>
        <v>0</v>
      </c>
      <c r="P101" s="505">
        <f>+O101-M101</f>
        <v>0</v>
      </c>
      <c r="Q101" s="244"/>
      <c r="R101" s="244"/>
      <c r="S101" s="244"/>
      <c r="T101" s="244"/>
      <c r="U101" s="244"/>
    </row>
    <row r="102" spans="1:21">
      <c r="C102" s="496">
        <f>IF(D94="","-",+C101+1)</f>
        <v>2018</v>
      </c>
      <c r="D102" s="497">
        <v>64831620.899999999</v>
      </c>
      <c r="E102" s="499">
        <v>1895280.2222222222</v>
      </c>
      <c r="F102" s="506">
        <v>62936340.677777775</v>
      </c>
      <c r="G102" s="506">
        <v>63883980.788888887</v>
      </c>
      <c r="H102" s="499">
        <v>8639029.6924960874</v>
      </c>
      <c r="I102" s="500">
        <v>8639029.6924960874</v>
      </c>
      <c r="J102" s="505">
        <f t="shared" si="10"/>
        <v>0</v>
      </c>
      <c r="K102" s="505"/>
      <c r="L102" s="505">
        <f>H102</f>
        <v>8639029.6924960874</v>
      </c>
      <c r="M102" s="505">
        <f>IF(L102&lt;&gt;0,+H102-L102,0)</f>
        <v>0</v>
      </c>
      <c r="N102" s="505">
        <f>I102</f>
        <v>8639029.6924960874</v>
      </c>
      <c r="O102" s="505">
        <f>IF(N102&lt;&gt;0,+I102-N102,0)</f>
        <v>0</v>
      </c>
      <c r="P102" s="505">
        <f>+O102-M102</f>
        <v>0</v>
      </c>
      <c r="Q102" s="244"/>
      <c r="R102" s="244"/>
      <c r="S102" s="244"/>
      <c r="T102" s="244"/>
      <c r="U102" s="244"/>
    </row>
    <row r="103" spans="1:21">
      <c r="C103" s="496">
        <f>IF(D94="","-",+C102+1)</f>
        <v>2019</v>
      </c>
      <c r="D103" s="497">
        <v>64646436.577777781</v>
      </c>
      <c r="E103" s="499">
        <v>1895763.0277777778</v>
      </c>
      <c r="F103" s="506">
        <v>62750673.550000004</v>
      </c>
      <c r="G103" s="506">
        <v>63698555.063888893</v>
      </c>
      <c r="H103" s="499">
        <v>8619938.5043946709</v>
      </c>
      <c r="I103" s="500">
        <v>8619938.5043946709</v>
      </c>
      <c r="J103" s="505">
        <f t="shared" si="10"/>
        <v>0</v>
      </c>
      <c r="K103" s="505"/>
      <c r="L103" s="505">
        <f>H103</f>
        <v>8619938.5043946709</v>
      </c>
      <c r="M103" s="505">
        <f>IF(L103&lt;&gt;0,+H103-L103,0)</f>
        <v>0</v>
      </c>
      <c r="N103" s="505">
        <f>I103</f>
        <v>8619938.5043946709</v>
      </c>
      <c r="O103" s="505">
        <f>IF(N103&lt;&gt;0,+I103-N103,0)</f>
        <v>0</v>
      </c>
      <c r="P103" s="505">
        <f>+O103-M103</f>
        <v>0</v>
      </c>
      <c r="Q103" s="244"/>
      <c r="R103" s="244"/>
      <c r="S103" s="244"/>
      <c r="T103" s="244"/>
      <c r="U103" s="244"/>
    </row>
    <row r="104" spans="1:21">
      <c r="C104" s="496">
        <f>IF(D94="","-",+C103+1)</f>
        <v>2020</v>
      </c>
      <c r="D104" s="497">
        <v>61057958.649999999</v>
      </c>
      <c r="E104" s="499">
        <v>2437409.6071428573</v>
      </c>
      <c r="F104" s="506">
        <v>58620549.04285714</v>
      </c>
      <c r="G104" s="506">
        <v>59839253.846428573</v>
      </c>
      <c r="H104" s="499">
        <v>8805113.9847133383</v>
      </c>
      <c r="I104" s="500">
        <v>8805113.9847133383</v>
      </c>
      <c r="J104" s="505">
        <f t="shared" si="10"/>
        <v>0</v>
      </c>
      <c r="K104" s="505"/>
      <c r="L104" s="505">
        <f>H104</f>
        <v>8805113.9847133383</v>
      </c>
      <c r="M104" s="505">
        <f>IF(L104&lt;&gt;0,+H104-L104,0)</f>
        <v>0</v>
      </c>
      <c r="N104" s="505">
        <f>I104</f>
        <v>8805113.9847133383</v>
      </c>
      <c r="O104" s="505">
        <f t="shared" si="12"/>
        <v>0</v>
      </c>
      <c r="P104" s="505">
        <f t="shared" si="13"/>
        <v>0</v>
      </c>
      <c r="Q104" s="244"/>
      <c r="R104" s="244"/>
      <c r="S104" s="244"/>
      <c r="T104" s="244"/>
      <c r="U104" s="244"/>
    </row>
    <row r="105" spans="1:21">
      <c r="C105" s="496">
        <f>IF(D94="","-",+C104+1)</f>
        <v>2021</v>
      </c>
      <c r="D105" s="350">
        <f>IF(F104+SUM(E$100:E104)=D$93,F104,D$93-SUM(E$100:E104))</f>
        <v>58620549.04285714</v>
      </c>
      <c r="E105" s="510">
        <f>IF(+J97&lt;F104,J97,D105)</f>
        <v>2729898.76</v>
      </c>
      <c r="F105" s="511">
        <f t="shared" ref="F105:F131" si="14">+D105-E105</f>
        <v>55890650.282857142</v>
      </c>
      <c r="G105" s="511">
        <f t="shared" ref="G105:G131" si="15">+(F105+D105)/2</f>
        <v>57255599.662857145</v>
      </c>
      <c r="H105" s="646">
        <f t="shared" ref="H105:H155" si="16">(D105+F105)/2*J$95+E105</f>
        <v>9483884.5595619641</v>
      </c>
      <c r="I105" s="628">
        <f t="shared" ref="I105:I155" si="17">+J$96*G105+E105</f>
        <v>9483884.5595619641</v>
      </c>
      <c r="J105" s="505">
        <f t="shared" si="10"/>
        <v>0</v>
      </c>
      <c r="K105" s="505"/>
      <c r="L105" s="513"/>
      <c r="M105" s="505">
        <f t="shared" si="11"/>
        <v>0</v>
      </c>
      <c r="N105" s="513"/>
      <c r="O105" s="505">
        <f t="shared" si="12"/>
        <v>0</v>
      </c>
      <c r="P105" s="505">
        <f t="shared" si="13"/>
        <v>0</v>
      </c>
      <c r="Q105" s="244"/>
      <c r="R105" s="244"/>
      <c r="S105" s="244"/>
      <c r="T105" s="244"/>
      <c r="U105" s="244"/>
    </row>
    <row r="106" spans="1:21">
      <c r="C106" s="496">
        <f>IF(D94="","-",+C105+1)</f>
        <v>2022</v>
      </c>
      <c r="D106" s="350">
        <f>IF(F105+SUM(E$100:E105)=D$93,F105,D$93-SUM(E$100:E105))</f>
        <v>55890650.282857142</v>
      </c>
      <c r="E106" s="510">
        <f>IF(+J97&lt;F105,J97,D106)</f>
        <v>2729898.76</v>
      </c>
      <c r="F106" s="511">
        <f t="shared" si="14"/>
        <v>53160751.522857144</v>
      </c>
      <c r="G106" s="511">
        <f t="shared" si="15"/>
        <v>54525700.90285714</v>
      </c>
      <c r="H106" s="646">
        <f t="shared" si="16"/>
        <v>9161860.2061738223</v>
      </c>
      <c r="I106" s="628">
        <f t="shared" si="17"/>
        <v>9161860.2061738223</v>
      </c>
      <c r="J106" s="505">
        <f t="shared" si="10"/>
        <v>0</v>
      </c>
      <c r="K106" s="505"/>
      <c r="L106" s="513"/>
      <c r="M106" s="505">
        <f t="shared" si="11"/>
        <v>0</v>
      </c>
      <c r="N106" s="513"/>
      <c r="O106" s="505">
        <f t="shared" si="12"/>
        <v>0</v>
      </c>
      <c r="P106" s="505">
        <f t="shared" si="13"/>
        <v>0</v>
      </c>
      <c r="Q106" s="244"/>
      <c r="R106" s="244"/>
      <c r="S106" s="244"/>
      <c r="T106" s="244"/>
      <c r="U106" s="244"/>
    </row>
    <row r="107" spans="1:21">
      <c r="C107" s="496">
        <f>IF(D94="","-",+C106+1)</f>
        <v>2023</v>
      </c>
      <c r="D107" s="350">
        <f>IF(F106+SUM(E$100:E106)=D$93,F106,D$93-SUM(E$100:E106))</f>
        <v>53160751.522857144</v>
      </c>
      <c r="E107" s="510">
        <f>IF(+J97&lt;F106,J97,D107)</f>
        <v>2729898.76</v>
      </c>
      <c r="F107" s="511">
        <f t="shared" si="14"/>
        <v>50430852.762857147</v>
      </c>
      <c r="G107" s="511">
        <f t="shared" si="15"/>
        <v>51795802.142857149</v>
      </c>
      <c r="H107" s="646">
        <f t="shared" si="16"/>
        <v>8839835.8527856842</v>
      </c>
      <c r="I107" s="628">
        <f t="shared" si="17"/>
        <v>8839835.8527856842</v>
      </c>
      <c r="J107" s="505">
        <f t="shared" si="10"/>
        <v>0</v>
      </c>
      <c r="K107" s="505"/>
      <c r="L107" s="513"/>
      <c r="M107" s="505">
        <f t="shared" si="11"/>
        <v>0</v>
      </c>
      <c r="N107" s="513"/>
      <c r="O107" s="505">
        <f t="shared" si="12"/>
        <v>0</v>
      </c>
      <c r="P107" s="505">
        <f t="shared" si="13"/>
        <v>0</v>
      </c>
      <c r="Q107" s="244"/>
      <c r="R107" s="244"/>
      <c r="S107" s="244"/>
      <c r="T107" s="244"/>
      <c r="U107" s="244"/>
    </row>
    <row r="108" spans="1:21">
      <c r="C108" s="496">
        <f>IF(D94="","-",+C107+1)</f>
        <v>2024</v>
      </c>
      <c r="D108" s="350">
        <f>IF(F107+SUM(E$100:E107)=D$93,F107,D$93-SUM(E$100:E107))</f>
        <v>50430852.762857147</v>
      </c>
      <c r="E108" s="510">
        <f>IF(+J97&lt;F107,J97,D108)</f>
        <v>2729898.76</v>
      </c>
      <c r="F108" s="511">
        <f t="shared" si="14"/>
        <v>47700954.002857149</v>
      </c>
      <c r="G108" s="511">
        <f t="shared" si="15"/>
        <v>49065903.382857144</v>
      </c>
      <c r="H108" s="646">
        <f t="shared" si="16"/>
        <v>8517811.4993975423</v>
      </c>
      <c r="I108" s="628">
        <f t="shared" si="17"/>
        <v>8517811.4993975423</v>
      </c>
      <c r="J108" s="505">
        <f t="shared" si="10"/>
        <v>0</v>
      </c>
      <c r="K108" s="505"/>
      <c r="L108" s="513"/>
      <c r="M108" s="505">
        <f t="shared" si="11"/>
        <v>0</v>
      </c>
      <c r="N108" s="513"/>
      <c r="O108" s="505">
        <f t="shared" si="12"/>
        <v>0</v>
      </c>
      <c r="P108" s="505">
        <f t="shared" si="13"/>
        <v>0</v>
      </c>
      <c r="Q108" s="244"/>
      <c r="R108" s="244"/>
      <c r="S108" s="244"/>
      <c r="T108" s="244"/>
      <c r="U108" s="244"/>
    </row>
    <row r="109" spans="1:21">
      <c r="C109" s="496">
        <f>IF(D94="","-",+C108+1)</f>
        <v>2025</v>
      </c>
      <c r="D109" s="350">
        <f>IF(F108+SUM(E$100:E108)=D$93,F108,D$93-SUM(E$100:E108))</f>
        <v>47700954.002857149</v>
      </c>
      <c r="E109" s="510">
        <f>IF(+J97&lt;F108,J97,D109)</f>
        <v>2729898.76</v>
      </c>
      <c r="F109" s="511">
        <f t="shared" si="14"/>
        <v>44971055.242857151</v>
      </c>
      <c r="G109" s="511">
        <f t="shared" si="15"/>
        <v>46336004.622857153</v>
      </c>
      <c r="H109" s="646">
        <f t="shared" si="16"/>
        <v>8195787.1460094023</v>
      </c>
      <c r="I109" s="628">
        <f t="shared" si="17"/>
        <v>8195787.1460094023</v>
      </c>
      <c r="J109" s="505">
        <f t="shared" si="10"/>
        <v>0</v>
      </c>
      <c r="K109" s="505"/>
      <c r="L109" s="513"/>
      <c r="M109" s="505">
        <f t="shared" si="11"/>
        <v>0</v>
      </c>
      <c r="N109" s="513"/>
      <c r="O109" s="505">
        <f t="shared" si="12"/>
        <v>0</v>
      </c>
      <c r="P109" s="505">
        <f t="shared" si="13"/>
        <v>0</v>
      </c>
      <c r="Q109" s="244"/>
      <c r="R109" s="244"/>
      <c r="S109" s="244"/>
      <c r="T109" s="244"/>
      <c r="U109" s="244"/>
    </row>
    <row r="110" spans="1:21">
      <c r="C110" s="496">
        <f>IF(D94="","-",+C109+1)</f>
        <v>2026</v>
      </c>
      <c r="D110" s="350">
        <f>IF(F109+SUM(E$100:E109)=D$93,F109,D$93-SUM(E$100:E109))</f>
        <v>44971055.242857151</v>
      </c>
      <c r="E110" s="510">
        <f>IF(+J97&lt;F109,J97,D110)</f>
        <v>2729898.76</v>
      </c>
      <c r="F110" s="511">
        <f t="shared" si="14"/>
        <v>42241156.482857153</v>
      </c>
      <c r="G110" s="511">
        <f t="shared" si="15"/>
        <v>43606105.862857148</v>
      </c>
      <c r="H110" s="646">
        <f t="shared" si="16"/>
        <v>7873762.7926212605</v>
      </c>
      <c r="I110" s="628">
        <f t="shared" si="17"/>
        <v>7873762.7926212605</v>
      </c>
      <c r="J110" s="505">
        <f t="shared" si="10"/>
        <v>0</v>
      </c>
      <c r="K110" s="505"/>
      <c r="L110" s="513"/>
      <c r="M110" s="505">
        <f t="shared" si="11"/>
        <v>0</v>
      </c>
      <c r="N110" s="513"/>
      <c r="O110" s="505">
        <f t="shared" si="12"/>
        <v>0</v>
      </c>
      <c r="P110" s="505">
        <f t="shared" si="13"/>
        <v>0</v>
      </c>
      <c r="Q110" s="244"/>
      <c r="R110" s="244"/>
      <c r="S110" s="244"/>
      <c r="T110" s="244"/>
      <c r="U110" s="244"/>
    </row>
    <row r="111" spans="1:21">
      <c r="C111" s="496">
        <f>IF(D94="","-",+C110+1)</f>
        <v>2027</v>
      </c>
      <c r="D111" s="350">
        <f>IF(F110+SUM(E$100:E110)=D$93,F110,D$93-SUM(E$100:E110))</f>
        <v>42241156.482857153</v>
      </c>
      <c r="E111" s="510">
        <f>IF(+J97&lt;F110,J97,D111)</f>
        <v>2729898.76</v>
      </c>
      <c r="F111" s="511">
        <f t="shared" si="14"/>
        <v>39511257.722857155</v>
      </c>
      <c r="G111" s="511">
        <f t="shared" si="15"/>
        <v>40876207.102857158</v>
      </c>
      <c r="H111" s="646">
        <f t="shared" si="16"/>
        <v>7551738.4392331215</v>
      </c>
      <c r="I111" s="628">
        <f t="shared" si="17"/>
        <v>7551738.4392331215</v>
      </c>
      <c r="J111" s="505">
        <f t="shared" si="10"/>
        <v>0</v>
      </c>
      <c r="K111" s="505"/>
      <c r="L111" s="513"/>
      <c r="M111" s="505">
        <f t="shared" si="11"/>
        <v>0</v>
      </c>
      <c r="N111" s="513"/>
      <c r="O111" s="505">
        <f t="shared" si="12"/>
        <v>0</v>
      </c>
      <c r="P111" s="505">
        <f t="shared" si="13"/>
        <v>0</v>
      </c>
      <c r="Q111" s="244"/>
      <c r="R111" s="244"/>
      <c r="S111" s="244"/>
      <c r="T111" s="244"/>
      <c r="U111" s="244"/>
    </row>
    <row r="112" spans="1:21">
      <c r="C112" s="496">
        <f>IF(D94="","-",+C111+1)</f>
        <v>2028</v>
      </c>
      <c r="D112" s="350">
        <f>IF(F111+SUM(E$100:E111)=D$93,F111,D$93-SUM(E$100:E111))</f>
        <v>39511257.722857155</v>
      </c>
      <c r="E112" s="510">
        <f>IF(+J97&lt;F111,J97,D112)</f>
        <v>2729898.76</v>
      </c>
      <c r="F112" s="511">
        <f t="shared" si="14"/>
        <v>36781358.962857157</v>
      </c>
      <c r="G112" s="511">
        <f t="shared" si="15"/>
        <v>38146308.342857152</v>
      </c>
      <c r="H112" s="646">
        <f t="shared" si="16"/>
        <v>7229714.0858449806</v>
      </c>
      <c r="I112" s="628">
        <f t="shared" si="17"/>
        <v>7229714.0858449806</v>
      </c>
      <c r="J112" s="505">
        <f t="shared" si="10"/>
        <v>0</v>
      </c>
      <c r="K112" s="505"/>
      <c r="L112" s="513"/>
      <c r="M112" s="505">
        <f t="shared" si="11"/>
        <v>0</v>
      </c>
      <c r="N112" s="513"/>
      <c r="O112" s="505">
        <f t="shared" si="12"/>
        <v>0</v>
      </c>
      <c r="P112" s="505">
        <f t="shared" si="13"/>
        <v>0</v>
      </c>
      <c r="Q112" s="244"/>
      <c r="R112" s="244"/>
      <c r="S112" s="244"/>
      <c r="T112" s="244"/>
      <c r="U112" s="244"/>
    </row>
    <row r="113" spans="3:21">
      <c r="C113" s="496">
        <f>IF(D94="","-",+C112+1)</f>
        <v>2029</v>
      </c>
      <c r="D113" s="350">
        <f>IF(F112+SUM(E$100:E112)=D$93,F112,D$93-SUM(E$100:E112))</f>
        <v>36781358.962857157</v>
      </c>
      <c r="E113" s="510">
        <f>IF(+J97&lt;F112,J97,D113)</f>
        <v>2729898.76</v>
      </c>
      <c r="F113" s="511">
        <f t="shared" si="14"/>
        <v>34051460.202857159</v>
      </c>
      <c r="G113" s="511">
        <f t="shared" si="15"/>
        <v>35416409.582857162</v>
      </c>
      <c r="H113" s="646">
        <f t="shared" si="16"/>
        <v>6907689.7324568406</v>
      </c>
      <c r="I113" s="628">
        <f t="shared" si="17"/>
        <v>6907689.7324568406</v>
      </c>
      <c r="J113" s="505">
        <f t="shared" si="10"/>
        <v>0</v>
      </c>
      <c r="K113" s="505"/>
      <c r="L113" s="513"/>
      <c r="M113" s="505">
        <f t="shared" si="11"/>
        <v>0</v>
      </c>
      <c r="N113" s="513"/>
      <c r="O113" s="505">
        <f t="shared" si="12"/>
        <v>0</v>
      </c>
      <c r="P113" s="505">
        <f t="shared" si="13"/>
        <v>0</v>
      </c>
      <c r="Q113" s="244"/>
      <c r="R113" s="244"/>
      <c r="S113" s="244"/>
      <c r="T113" s="244"/>
      <c r="U113" s="244"/>
    </row>
    <row r="114" spans="3:21">
      <c r="C114" s="496">
        <f>IF(D94="","-",+C113+1)</f>
        <v>2030</v>
      </c>
      <c r="D114" s="350">
        <f>IF(F113+SUM(E$100:E113)=D$93,F113,D$93-SUM(E$100:E113))</f>
        <v>34051460.202857159</v>
      </c>
      <c r="E114" s="510">
        <f>IF(+J97&lt;F113,J97,D114)</f>
        <v>2729898.76</v>
      </c>
      <c r="F114" s="511">
        <f t="shared" si="14"/>
        <v>31321561.442857161</v>
      </c>
      <c r="G114" s="511">
        <f t="shared" si="15"/>
        <v>32686510.82285716</v>
      </c>
      <c r="H114" s="646">
        <f t="shared" si="16"/>
        <v>6585665.3790686997</v>
      </c>
      <c r="I114" s="628">
        <f t="shared" si="17"/>
        <v>6585665.3790686997</v>
      </c>
      <c r="J114" s="505">
        <f t="shared" si="10"/>
        <v>0</v>
      </c>
      <c r="K114" s="505"/>
      <c r="L114" s="513"/>
      <c r="M114" s="505">
        <f t="shared" si="11"/>
        <v>0</v>
      </c>
      <c r="N114" s="513"/>
      <c r="O114" s="505">
        <f t="shared" si="12"/>
        <v>0</v>
      </c>
      <c r="P114" s="505">
        <f t="shared" si="13"/>
        <v>0</v>
      </c>
      <c r="Q114" s="244"/>
      <c r="R114" s="244"/>
      <c r="S114" s="244"/>
      <c r="T114" s="244"/>
      <c r="U114" s="244"/>
    </row>
    <row r="115" spans="3:21">
      <c r="C115" s="496">
        <f>IF(D94="","-",+C114+1)</f>
        <v>2031</v>
      </c>
      <c r="D115" s="350">
        <f>IF(F114+SUM(E$100:E114)=D$93,F114,D$93-SUM(E$100:E114))</f>
        <v>31321561.442857161</v>
      </c>
      <c r="E115" s="510">
        <f>IF(+J97&lt;F114,J97,D115)</f>
        <v>2729898.76</v>
      </c>
      <c r="F115" s="511">
        <f t="shared" si="14"/>
        <v>28591662.682857163</v>
      </c>
      <c r="G115" s="511">
        <f t="shared" si="15"/>
        <v>29956612.062857162</v>
      </c>
      <c r="H115" s="646">
        <f t="shared" si="16"/>
        <v>6263641.0256805597</v>
      </c>
      <c r="I115" s="628">
        <f t="shared" si="17"/>
        <v>6263641.0256805597</v>
      </c>
      <c r="J115" s="505">
        <f t="shared" si="10"/>
        <v>0</v>
      </c>
      <c r="K115" s="505"/>
      <c r="L115" s="513"/>
      <c r="M115" s="505">
        <f t="shared" si="11"/>
        <v>0</v>
      </c>
      <c r="N115" s="513"/>
      <c r="O115" s="505">
        <f t="shared" si="12"/>
        <v>0</v>
      </c>
      <c r="P115" s="505">
        <f t="shared" si="13"/>
        <v>0</v>
      </c>
      <c r="Q115" s="244"/>
      <c r="R115" s="244"/>
      <c r="S115" s="244"/>
      <c r="T115" s="244"/>
      <c r="U115" s="244"/>
    </row>
    <row r="116" spans="3:21">
      <c r="C116" s="496">
        <f>IF(D94="","-",+C115+1)</f>
        <v>2032</v>
      </c>
      <c r="D116" s="350">
        <f>IF(F115+SUM(E$100:E115)=D$93,F115,D$93-SUM(E$100:E115))</f>
        <v>28591662.682857163</v>
      </c>
      <c r="E116" s="510">
        <f>IF(+J97&lt;F115,J97,D116)</f>
        <v>2729898.76</v>
      </c>
      <c r="F116" s="511">
        <f t="shared" si="14"/>
        <v>25861763.922857165</v>
      </c>
      <c r="G116" s="511">
        <f t="shared" si="15"/>
        <v>27226713.302857164</v>
      </c>
      <c r="H116" s="646">
        <f t="shared" si="16"/>
        <v>5941616.6722924188</v>
      </c>
      <c r="I116" s="628">
        <f t="shared" si="17"/>
        <v>5941616.6722924188</v>
      </c>
      <c r="J116" s="505">
        <f t="shared" si="10"/>
        <v>0</v>
      </c>
      <c r="K116" s="505"/>
      <c r="L116" s="513"/>
      <c r="M116" s="505">
        <f t="shared" si="11"/>
        <v>0</v>
      </c>
      <c r="N116" s="513"/>
      <c r="O116" s="505">
        <f t="shared" si="12"/>
        <v>0</v>
      </c>
      <c r="P116" s="505">
        <f t="shared" si="13"/>
        <v>0</v>
      </c>
      <c r="Q116" s="244"/>
      <c r="R116" s="244"/>
      <c r="S116" s="244"/>
      <c r="T116" s="244"/>
      <c r="U116" s="244"/>
    </row>
    <row r="117" spans="3:21">
      <c r="C117" s="496">
        <f>IF(D94="","-",+C116+1)</f>
        <v>2033</v>
      </c>
      <c r="D117" s="350">
        <f>IF(F116+SUM(E$100:E116)=D$93,F116,D$93-SUM(E$100:E116))</f>
        <v>25861763.922857165</v>
      </c>
      <c r="E117" s="510">
        <f>IF(+J97&lt;F116,J97,D117)</f>
        <v>2729898.76</v>
      </c>
      <c r="F117" s="511">
        <f t="shared" si="14"/>
        <v>23131865.162857167</v>
      </c>
      <c r="G117" s="511">
        <f t="shared" si="15"/>
        <v>24496814.542857166</v>
      </c>
      <c r="H117" s="646">
        <f t="shared" si="16"/>
        <v>5619592.3189042788</v>
      </c>
      <c r="I117" s="628">
        <f t="shared" si="17"/>
        <v>5619592.3189042788</v>
      </c>
      <c r="J117" s="505">
        <f t="shared" si="10"/>
        <v>0</v>
      </c>
      <c r="K117" s="505"/>
      <c r="L117" s="513"/>
      <c r="M117" s="505">
        <f t="shared" si="11"/>
        <v>0</v>
      </c>
      <c r="N117" s="513"/>
      <c r="O117" s="505">
        <f t="shared" si="12"/>
        <v>0</v>
      </c>
      <c r="P117" s="505">
        <f t="shared" si="13"/>
        <v>0</v>
      </c>
      <c r="Q117" s="244"/>
      <c r="R117" s="244"/>
      <c r="S117" s="244"/>
      <c r="T117" s="244"/>
      <c r="U117" s="244"/>
    </row>
    <row r="118" spans="3:21">
      <c r="C118" s="496">
        <f>IF(D94="","-",+C117+1)</f>
        <v>2034</v>
      </c>
      <c r="D118" s="350">
        <f>IF(F117+SUM(E$100:E117)=D$93,F117,D$93-SUM(E$100:E117))</f>
        <v>23131865.162857167</v>
      </c>
      <c r="E118" s="510">
        <f>IF(+J97&lt;F117,J97,D118)</f>
        <v>2729898.76</v>
      </c>
      <c r="F118" s="511">
        <f t="shared" si="14"/>
        <v>20401966.40285717</v>
      </c>
      <c r="G118" s="511">
        <f t="shared" si="15"/>
        <v>21766915.782857168</v>
      </c>
      <c r="H118" s="646">
        <f t="shared" si="16"/>
        <v>5297567.9655161388</v>
      </c>
      <c r="I118" s="628">
        <f t="shared" si="17"/>
        <v>5297567.9655161388</v>
      </c>
      <c r="J118" s="505">
        <f t="shared" si="10"/>
        <v>0</v>
      </c>
      <c r="K118" s="505"/>
      <c r="L118" s="513"/>
      <c r="M118" s="505">
        <f t="shared" si="11"/>
        <v>0</v>
      </c>
      <c r="N118" s="513"/>
      <c r="O118" s="505">
        <f t="shared" si="12"/>
        <v>0</v>
      </c>
      <c r="P118" s="505">
        <f t="shared" si="13"/>
        <v>0</v>
      </c>
      <c r="Q118" s="244"/>
      <c r="R118" s="244"/>
      <c r="S118" s="244"/>
      <c r="T118" s="244"/>
      <c r="U118" s="244"/>
    </row>
    <row r="119" spans="3:21">
      <c r="C119" s="496">
        <f>IF(D94="","-",+C118+1)</f>
        <v>2035</v>
      </c>
      <c r="D119" s="350">
        <f>IF(F118+SUM(E$100:E118)=D$93,F118,D$93-SUM(E$100:E118))</f>
        <v>20401966.40285717</v>
      </c>
      <c r="E119" s="510">
        <f>IF(+J97&lt;F118,J97,D119)</f>
        <v>2729898.76</v>
      </c>
      <c r="F119" s="511">
        <f t="shared" si="14"/>
        <v>17672067.642857172</v>
      </c>
      <c r="G119" s="511">
        <f t="shared" si="15"/>
        <v>19037017.022857171</v>
      </c>
      <c r="H119" s="646">
        <f t="shared" si="16"/>
        <v>4975543.6121279979</v>
      </c>
      <c r="I119" s="628">
        <f t="shared" si="17"/>
        <v>4975543.6121279979</v>
      </c>
      <c r="J119" s="505">
        <f t="shared" si="10"/>
        <v>0</v>
      </c>
      <c r="K119" s="505"/>
      <c r="L119" s="513"/>
      <c r="M119" s="505">
        <f t="shared" si="11"/>
        <v>0</v>
      </c>
      <c r="N119" s="513"/>
      <c r="O119" s="505">
        <f t="shared" si="12"/>
        <v>0</v>
      </c>
      <c r="P119" s="505">
        <f t="shared" si="13"/>
        <v>0</v>
      </c>
      <c r="Q119" s="244"/>
      <c r="R119" s="244"/>
      <c r="S119" s="244"/>
      <c r="T119" s="244"/>
      <c r="U119" s="244"/>
    </row>
    <row r="120" spans="3:21">
      <c r="C120" s="496">
        <f>IF(D94="","-",+C119+1)</f>
        <v>2036</v>
      </c>
      <c r="D120" s="350">
        <f>IF(F119+SUM(E$100:E119)=D$93,F119,D$93-SUM(E$100:E119))</f>
        <v>17672067.642857172</v>
      </c>
      <c r="E120" s="510">
        <f>IF(+J97&lt;F119,J97,D120)</f>
        <v>2729898.76</v>
      </c>
      <c r="F120" s="511">
        <f t="shared" si="14"/>
        <v>14942168.882857172</v>
      </c>
      <c r="G120" s="511">
        <f t="shared" si="15"/>
        <v>16307118.262857173</v>
      </c>
      <c r="H120" s="646">
        <f t="shared" si="16"/>
        <v>4653519.2587398579</v>
      </c>
      <c r="I120" s="628">
        <f t="shared" si="17"/>
        <v>4653519.2587398579</v>
      </c>
      <c r="J120" s="505">
        <f t="shared" si="10"/>
        <v>0</v>
      </c>
      <c r="K120" s="505"/>
      <c r="L120" s="513"/>
      <c r="M120" s="505">
        <f t="shared" si="11"/>
        <v>0</v>
      </c>
      <c r="N120" s="513"/>
      <c r="O120" s="505">
        <f t="shared" si="12"/>
        <v>0</v>
      </c>
      <c r="P120" s="505">
        <f t="shared" si="13"/>
        <v>0</v>
      </c>
      <c r="Q120" s="244"/>
      <c r="R120" s="244"/>
      <c r="S120" s="244"/>
      <c r="T120" s="244"/>
      <c r="U120" s="244"/>
    </row>
    <row r="121" spans="3:21">
      <c r="C121" s="496">
        <f>IF(D94="","-",+C120+1)</f>
        <v>2037</v>
      </c>
      <c r="D121" s="350">
        <f>IF(F120+SUM(E$100:E120)=D$93,F120,D$93-SUM(E$100:E120))</f>
        <v>14942168.882857172</v>
      </c>
      <c r="E121" s="510">
        <f>IF(+J97&lt;F120,J97,D121)</f>
        <v>2729898.76</v>
      </c>
      <c r="F121" s="511">
        <f t="shared" si="14"/>
        <v>12212270.122857172</v>
      </c>
      <c r="G121" s="511">
        <f t="shared" si="15"/>
        <v>13577219.502857171</v>
      </c>
      <c r="H121" s="646">
        <f t="shared" si="16"/>
        <v>4331494.905351717</v>
      </c>
      <c r="I121" s="628">
        <f t="shared" si="17"/>
        <v>4331494.905351717</v>
      </c>
      <c r="J121" s="505">
        <f t="shared" si="10"/>
        <v>0</v>
      </c>
      <c r="K121" s="505"/>
      <c r="L121" s="513"/>
      <c r="M121" s="505">
        <f t="shared" si="11"/>
        <v>0</v>
      </c>
      <c r="N121" s="513"/>
      <c r="O121" s="505">
        <f t="shared" si="12"/>
        <v>0</v>
      </c>
      <c r="P121" s="505">
        <f t="shared" si="13"/>
        <v>0</v>
      </c>
      <c r="Q121" s="244"/>
      <c r="R121" s="244"/>
      <c r="S121" s="244"/>
      <c r="T121" s="244"/>
      <c r="U121" s="244"/>
    </row>
    <row r="122" spans="3:21">
      <c r="C122" s="496">
        <f>IF(D94="","-",+C121+1)</f>
        <v>2038</v>
      </c>
      <c r="D122" s="350">
        <f>IF(F121+SUM(E$100:E121)=D$93,F121,D$93-SUM(E$100:E121))</f>
        <v>12212270.122857172</v>
      </c>
      <c r="E122" s="510">
        <f>IF(+J97&lt;F121,J97,D122)</f>
        <v>2729898.76</v>
      </c>
      <c r="F122" s="511">
        <f t="shared" si="14"/>
        <v>9482371.3628571723</v>
      </c>
      <c r="G122" s="511">
        <f t="shared" si="15"/>
        <v>10847320.742857173</v>
      </c>
      <c r="H122" s="646">
        <f t="shared" si="16"/>
        <v>4009470.5519635766</v>
      </c>
      <c r="I122" s="628">
        <f t="shared" si="17"/>
        <v>4009470.5519635766</v>
      </c>
      <c r="J122" s="505">
        <f t="shared" si="10"/>
        <v>0</v>
      </c>
      <c r="K122" s="505"/>
      <c r="L122" s="513"/>
      <c r="M122" s="505">
        <f t="shared" si="11"/>
        <v>0</v>
      </c>
      <c r="N122" s="513"/>
      <c r="O122" s="505">
        <f t="shared" si="12"/>
        <v>0</v>
      </c>
      <c r="P122" s="505">
        <f t="shared" si="13"/>
        <v>0</v>
      </c>
      <c r="Q122" s="244"/>
      <c r="R122" s="244"/>
      <c r="S122" s="244"/>
      <c r="T122" s="244"/>
      <c r="U122" s="244"/>
    </row>
    <row r="123" spans="3:21">
      <c r="C123" s="496">
        <f>IF(D94="","-",+C122+1)</f>
        <v>2039</v>
      </c>
      <c r="D123" s="350">
        <f>IF(F122+SUM(E$100:E122)=D$93,F122,D$93-SUM(E$100:E122))</f>
        <v>9482371.3628571723</v>
      </c>
      <c r="E123" s="510">
        <f>IF(+J97&lt;F122,J97,D123)</f>
        <v>2729898.76</v>
      </c>
      <c r="F123" s="511">
        <f t="shared" si="14"/>
        <v>6752472.6028571725</v>
      </c>
      <c r="G123" s="511">
        <f t="shared" si="15"/>
        <v>8117421.9828571724</v>
      </c>
      <c r="H123" s="646">
        <f t="shared" si="16"/>
        <v>3687446.1985754361</v>
      </c>
      <c r="I123" s="628">
        <f t="shared" si="17"/>
        <v>3687446.1985754361</v>
      </c>
      <c r="J123" s="505">
        <f t="shared" si="10"/>
        <v>0</v>
      </c>
      <c r="K123" s="505"/>
      <c r="L123" s="513"/>
      <c r="M123" s="505">
        <f t="shared" si="11"/>
        <v>0</v>
      </c>
      <c r="N123" s="513"/>
      <c r="O123" s="505">
        <f t="shared" si="12"/>
        <v>0</v>
      </c>
      <c r="P123" s="505">
        <f t="shared" si="13"/>
        <v>0</v>
      </c>
      <c r="Q123" s="244"/>
      <c r="R123" s="244"/>
      <c r="S123" s="244"/>
      <c r="T123" s="244"/>
      <c r="U123" s="244"/>
    </row>
    <row r="124" spans="3:21">
      <c r="C124" s="496">
        <f>IF(D94="","-",+C123+1)</f>
        <v>2040</v>
      </c>
      <c r="D124" s="350">
        <f>IF(F123+SUM(E$100:E123)=D$93,F123,D$93-SUM(E$100:E123))</f>
        <v>6752472.6028571725</v>
      </c>
      <c r="E124" s="510">
        <f>IF(+J97&lt;F123,J97,D124)</f>
        <v>2729898.76</v>
      </c>
      <c r="F124" s="511">
        <f t="shared" si="14"/>
        <v>4022573.8428571727</v>
      </c>
      <c r="G124" s="511">
        <f t="shared" si="15"/>
        <v>5387523.2228571726</v>
      </c>
      <c r="H124" s="646">
        <f t="shared" si="16"/>
        <v>3365421.8451872952</v>
      </c>
      <c r="I124" s="628">
        <f t="shared" si="17"/>
        <v>3365421.8451872952</v>
      </c>
      <c r="J124" s="505">
        <f t="shared" si="10"/>
        <v>0</v>
      </c>
      <c r="K124" s="505"/>
      <c r="L124" s="513"/>
      <c r="M124" s="505">
        <f t="shared" si="11"/>
        <v>0</v>
      </c>
      <c r="N124" s="513"/>
      <c r="O124" s="505">
        <f t="shared" si="12"/>
        <v>0</v>
      </c>
      <c r="P124" s="505">
        <f t="shared" si="13"/>
        <v>0</v>
      </c>
      <c r="Q124" s="244"/>
      <c r="R124" s="244"/>
      <c r="S124" s="244"/>
      <c r="T124" s="244"/>
      <c r="U124" s="244"/>
    </row>
    <row r="125" spans="3:21">
      <c r="C125" s="496">
        <f>IF(D94="","-",+C124+1)</f>
        <v>2041</v>
      </c>
      <c r="D125" s="350">
        <f>IF(F124+SUM(E$100:E124)=D$93,F124,D$93-SUM(E$100:E124))</f>
        <v>4022573.8428571727</v>
      </c>
      <c r="E125" s="510">
        <f>IF(+J97&lt;F124,J97,D125)</f>
        <v>2729898.76</v>
      </c>
      <c r="F125" s="511">
        <f t="shared" si="14"/>
        <v>1292675.0828571729</v>
      </c>
      <c r="G125" s="511">
        <f t="shared" si="15"/>
        <v>2657624.4628571728</v>
      </c>
      <c r="H125" s="646">
        <f t="shared" si="16"/>
        <v>3043397.4917991548</v>
      </c>
      <c r="I125" s="628">
        <f t="shared" si="17"/>
        <v>3043397.4917991548</v>
      </c>
      <c r="J125" s="505">
        <f t="shared" si="10"/>
        <v>0</v>
      </c>
      <c r="K125" s="505"/>
      <c r="L125" s="513"/>
      <c r="M125" s="505">
        <f t="shared" si="11"/>
        <v>0</v>
      </c>
      <c r="N125" s="513"/>
      <c r="O125" s="505">
        <f t="shared" si="12"/>
        <v>0</v>
      </c>
      <c r="P125" s="505">
        <f t="shared" si="13"/>
        <v>0</v>
      </c>
      <c r="Q125" s="244"/>
      <c r="R125" s="244"/>
      <c r="S125" s="244"/>
      <c r="T125" s="244"/>
      <c r="U125" s="244"/>
    </row>
    <row r="126" spans="3:21">
      <c r="C126" s="496">
        <f>IF(D94="","-",+C125+1)</f>
        <v>2042</v>
      </c>
      <c r="D126" s="350">
        <f>IF(F125+SUM(E$100:E125)=D$93,F125,D$93-SUM(E$100:E125))</f>
        <v>1292675.0828571729</v>
      </c>
      <c r="E126" s="510">
        <f>IF(+J97&lt;F125,J97,D126)</f>
        <v>1292675.0828571729</v>
      </c>
      <c r="F126" s="511">
        <f t="shared" si="14"/>
        <v>0</v>
      </c>
      <c r="G126" s="511">
        <f t="shared" si="15"/>
        <v>646337.54142858647</v>
      </c>
      <c r="H126" s="646">
        <f t="shared" si="16"/>
        <v>1368918.3604097152</v>
      </c>
      <c r="I126" s="628">
        <f t="shared" si="17"/>
        <v>1368918.3604097152</v>
      </c>
      <c r="J126" s="505">
        <f t="shared" si="10"/>
        <v>0</v>
      </c>
      <c r="K126" s="505"/>
      <c r="L126" s="513"/>
      <c r="M126" s="505">
        <f t="shared" si="11"/>
        <v>0</v>
      </c>
      <c r="N126" s="513"/>
      <c r="O126" s="505">
        <f t="shared" si="12"/>
        <v>0</v>
      </c>
      <c r="P126" s="505">
        <f t="shared" si="13"/>
        <v>0</v>
      </c>
      <c r="Q126" s="244"/>
      <c r="R126" s="244"/>
      <c r="S126" s="244"/>
      <c r="T126" s="244"/>
      <c r="U126" s="244"/>
    </row>
    <row r="127" spans="3:21">
      <c r="C127" s="496">
        <f>IF(D94="","-",+C126+1)</f>
        <v>2043</v>
      </c>
      <c r="D127" s="350">
        <f>IF(F126+SUM(E$100:E126)=D$93,F126,D$93-SUM(E$100:E126))</f>
        <v>0</v>
      </c>
      <c r="E127" s="510">
        <f>IF(+J97&lt;F126,J97,D127)</f>
        <v>0</v>
      </c>
      <c r="F127" s="511">
        <f t="shared" si="14"/>
        <v>0</v>
      </c>
      <c r="G127" s="511">
        <f t="shared" si="15"/>
        <v>0</v>
      </c>
      <c r="H127" s="646">
        <f t="shared" si="16"/>
        <v>0</v>
      </c>
      <c r="I127" s="628">
        <f t="shared" si="17"/>
        <v>0</v>
      </c>
      <c r="J127" s="505">
        <f t="shared" si="10"/>
        <v>0</v>
      </c>
      <c r="K127" s="505"/>
      <c r="L127" s="513"/>
      <c r="M127" s="505">
        <f t="shared" si="11"/>
        <v>0</v>
      </c>
      <c r="N127" s="513"/>
      <c r="O127" s="505">
        <f t="shared" si="12"/>
        <v>0</v>
      </c>
      <c r="P127" s="505">
        <f t="shared" si="13"/>
        <v>0</v>
      </c>
      <c r="Q127" s="244"/>
      <c r="R127" s="244"/>
      <c r="S127" s="244"/>
      <c r="T127" s="244"/>
      <c r="U127" s="244"/>
    </row>
    <row r="128" spans="3:21">
      <c r="C128" s="496">
        <f>IF(D94="","-",+C127+1)</f>
        <v>2044</v>
      </c>
      <c r="D128" s="350">
        <f>IF(F127+SUM(E$100:E127)=D$93,F127,D$93-SUM(E$100:E127))</f>
        <v>0</v>
      </c>
      <c r="E128" s="510">
        <f>IF(+J97&lt;F127,J97,D128)</f>
        <v>0</v>
      </c>
      <c r="F128" s="511">
        <f t="shared" si="14"/>
        <v>0</v>
      </c>
      <c r="G128" s="511">
        <f t="shared" si="15"/>
        <v>0</v>
      </c>
      <c r="H128" s="646">
        <f t="shared" si="16"/>
        <v>0</v>
      </c>
      <c r="I128" s="628">
        <f t="shared" si="17"/>
        <v>0</v>
      </c>
      <c r="J128" s="505">
        <f t="shared" si="10"/>
        <v>0</v>
      </c>
      <c r="K128" s="505"/>
      <c r="L128" s="513"/>
      <c r="M128" s="505">
        <f t="shared" si="11"/>
        <v>0</v>
      </c>
      <c r="N128" s="513"/>
      <c r="O128" s="505">
        <f t="shared" si="12"/>
        <v>0</v>
      </c>
      <c r="P128" s="505">
        <f t="shared" si="13"/>
        <v>0</v>
      </c>
      <c r="Q128" s="244"/>
      <c r="R128" s="244"/>
      <c r="S128" s="244"/>
      <c r="T128" s="244"/>
      <c r="U128" s="244"/>
    </row>
    <row r="129" spans="3:21">
      <c r="C129" s="496">
        <f>IF(D94="","-",+C128+1)</f>
        <v>2045</v>
      </c>
      <c r="D129" s="350">
        <f>IF(F128+SUM(E$100:E128)=D$93,F128,D$93-SUM(E$100:E128))</f>
        <v>0</v>
      </c>
      <c r="E129" s="510">
        <f>IF(+J97&lt;F128,J97,D129)</f>
        <v>0</v>
      </c>
      <c r="F129" s="511">
        <f t="shared" si="14"/>
        <v>0</v>
      </c>
      <c r="G129" s="511">
        <f t="shared" si="15"/>
        <v>0</v>
      </c>
      <c r="H129" s="646">
        <f t="shared" si="16"/>
        <v>0</v>
      </c>
      <c r="I129" s="628">
        <f t="shared" si="17"/>
        <v>0</v>
      </c>
      <c r="J129" s="505">
        <f t="shared" si="10"/>
        <v>0</v>
      </c>
      <c r="K129" s="505"/>
      <c r="L129" s="513"/>
      <c r="M129" s="505">
        <f t="shared" si="11"/>
        <v>0</v>
      </c>
      <c r="N129" s="513"/>
      <c r="O129" s="505">
        <f t="shared" si="12"/>
        <v>0</v>
      </c>
      <c r="P129" s="505">
        <f t="shared" si="13"/>
        <v>0</v>
      </c>
      <c r="Q129" s="244"/>
      <c r="R129" s="244"/>
      <c r="S129" s="244"/>
      <c r="T129" s="244"/>
      <c r="U129" s="244"/>
    </row>
    <row r="130" spans="3:21">
      <c r="C130" s="496">
        <f>IF(D94="","-",+C129+1)</f>
        <v>2046</v>
      </c>
      <c r="D130" s="350">
        <f>IF(F129+SUM(E$100:E129)=D$93,F129,D$93-SUM(E$100:E129))</f>
        <v>0</v>
      </c>
      <c r="E130" s="510">
        <f>IF(+J97&lt;F129,J97,D130)</f>
        <v>0</v>
      </c>
      <c r="F130" s="511">
        <f t="shared" si="14"/>
        <v>0</v>
      </c>
      <c r="G130" s="511">
        <f t="shared" si="15"/>
        <v>0</v>
      </c>
      <c r="H130" s="646">
        <f t="shared" si="16"/>
        <v>0</v>
      </c>
      <c r="I130" s="628">
        <f t="shared" si="17"/>
        <v>0</v>
      </c>
      <c r="J130" s="505">
        <f t="shared" si="10"/>
        <v>0</v>
      </c>
      <c r="K130" s="505"/>
      <c r="L130" s="513"/>
      <c r="M130" s="505">
        <f t="shared" si="11"/>
        <v>0</v>
      </c>
      <c r="N130" s="513"/>
      <c r="O130" s="505">
        <f t="shared" si="12"/>
        <v>0</v>
      </c>
      <c r="P130" s="505">
        <f t="shared" si="13"/>
        <v>0</v>
      </c>
      <c r="Q130" s="244"/>
      <c r="R130" s="244"/>
      <c r="S130" s="244"/>
      <c r="T130" s="244"/>
      <c r="U130" s="244"/>
    </row>
    <row r="131" spans="3:21">
      <c r="C131" s="496">
        <f>IF(D94="","-",+C130+1)</f>
        <v>2047</v>
      </c>
      <c r="D131" s="350">
        <f>IF(F130+SUM(E$100:E130)=D$93,F130,D$93-SUM(E$100:E130))</f>
        <v>0</v>
      </c>
      <c r="E131" s="510">
        <f>IF(+J97&lt;F130,J97,D131)</f>
        <v>0</v>
      </c>
      <c r="F131" s="511">
        <f t="shared" si="14"/>
        <v>0</v>
      </c>
      <c r="G131" s="511">
        <f t="shared" si="15"/>
        <v>0</v>
      </c>
      <c r="H131" s="646">
        <f t="shared" si="16"/>
        <v>0</v>
      </c>
      <c r="I131" s="628">
        <f t="shared" si="17"/>
        <v>0</v>
      </c>
      <c r="J131" s="505">
        <f t="shared" si="10"/>
        <v>0</v>
      </c>
      <c r="K131" s="505"/>
      <c r="L131" s="513"/>
      <c r="M131" s="505">
        <f t="shared" si="11"/>
        <v>0</v>
      </c>
      <c r="N131" s="513"/>
      <c r="O131" s="505">
        <f t="shared" si="12"/>
        <v>0</v>
      </c>
      <c r="P131" s="505">
        <f t="shared" si="13"/>
        <v>0</v>
      </c>
      <c r="Q131" s="244"/>
      <c r="R131" s="244"/>
      <c r="S131" s="244"/>
      <c r="T131" s="244"/>
      <c r="U131" s="244"/>
    </row>
    <row r="132" spans="3:21">
      <c r="C132" s="496">
        <f>IF(D94="","-",+C131+1)</f>
        <v>2048</v>
      </c>
      <c r="D132" s="350">
        <f>IF(F131+SUM(E$100:E131)=D$93,F131,D$93-SUM(E$100:E131))</f>
        <v>0</v>
      </c>
      <c r="E132" s="510">
        <f>IF(+J97&lt;F131,J97,D132)</f>
        <v>0</v>
      </c>
      <c r="F132" s="511">
        <f t="shared" ref="F132:F155" si="18">+D132-E132</f>
        <v>0</v>
      </c>
      <c r="G132" s="511">
        <f t="shared" ref="G132:G155" si="19">+(F132+D132)/2</f>
        <v>0</v>
      </c>
      <c r="H132" s="646">
        <f t="shared" si="16"/>
        <v>0</v>
      </c>
      <c r="I132" s="628">
        <f t="shared" si="17"/>
        <v>0</v>
      </c>
      <c r="J132" s="505">
        <f t="shared" ref="J132:J155" si="20">+I542-H542</f>
        <v>0</v>
      </c>
      <c r="K132" s="505"/>
      <c r="L132" s="513"/>
      <c r="M132" s="505">
        <f t="shared" ref="M132:M155" si="21">IF(L542&lt;&gt;0,+H542-L542,0)</f>
        <v>0</v>
      </c>
      <c r="N132" s="513"/>
      <c r="O132" s="505">
        <f t="shared" ref="O132:O155" si="22">IF(N542&lt;&gt;0,+I542-N542,0)</f>
        <v>0</v>
      </c>
      <c r="P132" s="505">
        <f t="shared" ref="P132:P155" si="23">+O542-M542</f>
        <v>0</v>
      </c>
      <c r="Q132" s="244"/>
      <c r="R132" s="244"/>
      <c r="S132" s="244"/>
      <c r="T132" s="244"/>
      <c r="U132" s="244"/>
    </row>
    <row r="133" spans="3:21">
      <c r="C133" s="496">
        <f>IF(D94="","-",+C132+1)</f>
        <v>2049</v>
      </c>
      <c r="D133" s="350">
        <f>IF(F132+SUM(E$100:E132)=D$93,F132,D$93-SUM(E$100:E132))</f>
        <v>0</v>
      </c>
      <c r="E133" s="510">
        <f>IF(+J97&lt;F132,J97,D133)</f>
        <v>0</v>
      </c>
      <c r="F133" s="511">
        <f t="shared" si="18"/>
        <v>0</v>
      </c>
      <c r="G133" s="511">
        <f t="shared" si="19"/>
        <v>0</v>
      </c>
      <c r="H133" s="646">
        <f t="shared" si="16"/>
        <v>0</v>
      </c>
      <c r="I133" s="628">
        <f t="shared" si="17"/>
        <v>0</v>
      </c>
      <c r="J133" s="505">
        <f t="shared" si="20"/>
        <v>0</v>
      </c>
      <c r="K133" s="505"/>
      <c r="L133" s="513"/>
      <c r="M133" s="505">
        <f t="shared" si="21"/>
        <v>0</v>
      </c>
      <c r="N133" s="513"/>
      <c r="O133" s="505">
        <f t="shared" si="22"/>
        <v>0</v>
      </c>
      <c r="P133" s="505">
        <f t="shared" si="23"/>
        <v>0</v>
      </c>
      <c r="Q133" s="244"/>
      <c r="R133" s="244"/>
      <c r="S133" s="244"/>
      <c r="T133" s="244"/>
      <c r="U133" s="244"/>
    </row>
    <row r="134" spans="3:21">
      <c r="C134" s="496">
        <f>IF(D94="","-",+C133+1)</f>
        <v>2050</v>
      </c>
      <c r="D134" s="350">
        <f>IF(F133+SUM(E$100:E133)=D$93,F133,D$93-SUM(E$100:E133))</f>
        <v>0</v>
      </c>
      <c r="E134" s="510">
        <f>IF(+J97&lt;F133,J97,D134)</f>
        <v>0</v>
      </c>
      <c r="F134" s="511">
        <f t="shared" si="18"/>
        <v>0</v>
      </c>
      <c r="G134" s="511">
        <f t="shared" si="19"/>
        <v>0</v>
      </c>
      <c r="H134" s="646">
        <f t="shared" si="16"/>
        <v>0</v>
      </c>
      <c r="I134" s="628">
        <f t="shared" si="17"/>
        <v>0</v>
      </c>
      <c r="J134" s="505">
        <f t="shared" si="20"/>
        <v>0</v>
      </c>
      <c r="K134" s="505"/>
      <c r="L134" s="513"/>
      <c r="M134" s="505">
        <f t="shared" si="21"/>
        <v>0</v>
      </c>
      <c r="N134" s="513"/>
      <c r="O134" s="505">
        <f t="shared" si="22"/>
        <v>0</v>
      </c>
      <c r="P134" s="505">
        <f t="shared" si="23"/>
        <v>0</v>
      </c>
      <c r="Q134" s="244"/>
      <c r="R134" s="244"/>
      <c r="S134" s="244"/>
      <c r="T134" s="244"/>
      <c r="U134" s="244"/>
    </row>
    <row r="135" spans="3:21">
      <c r="C135" s="496">
        <f>IF(D94="","-",+C134+1)</f>
        <v>2051</v>
      </c>
      <c r="D135" s="350">
        <f>IF(F134+SUM(E$100:E134)=D$93,F134,D$93-SUM(E$100:E134))</f>
        <v>0</v>
      </c>
      <c r="E135" s="510">
        <f>IF(+J97&lt;F134,J97,D135)</f>
        <v>0</v>
      </c>
      <c r="F135" s="511">
        <f t="shared" si="18"/>
        <v>0</v>
      </c>
      <c r="G135" s="511">
        <f t="shared" si="19"/>
        <v>0</v>
      </c>
      <c r="H135" s="646">
        <f t="shared" si="16"/>
        <v>0</v>
      </c>
      <c r="I135" s="628">
        <f t="shared" si="17"/>
        <v>0</v>
      </c>
      <c r="J135" s="505">
        <f t="shared" si="20"/>
        <v>0</v>
      </c>
      <c r="K135" s="505"/>
      <c r="L135" s="513"/>
      <c r="M135" s="505">
        <f t="shared" si="21"/>
        <v>0</v>
      </c>
      <c r="N135" s="513"/>
      <c r="O135" s="505">
        <f t="shared" si="22"/>
        <v>0</v>
      </c>
      <c r="P135" s="505">
        <f t="shared" si="23"/>
        <v>0</v>
      </c>
      <c r="Q135" s="244"/>
      <c r="R135" s="244"/>
      <c r="S135" s="244"/>
      <c r="T135" s="244"/>
      <c r="U135" s="244"/>
    </row>
    <row r="136" spans="3:21">
      <c r="C136" s="496">
        <f>IF(D94="","-",+C135+1)</f>
        <v>2052</v>
      </c>
      <c r="D136" s="350">
        <f>IF(F135+SUM(E$100:E135)=D$93,F135,D$93-SUM(E$100:E135))</f>
        <v>0</v>
      </c>
      <c r="E136" s="510">
        <f>IF(+J97&lt;F135,J97,D136)</f>
        <v>0</v>
      </c>
      <c r="F136" s="511">
        <f t="shared" si="18"/>
        <v>0</v>
      </c>
      <c r="G136" s="511">
        <f t="shared" si="19"/>
        <v>0</v>
      </c>
      <c r="H136" s="646">
        <f t="shared" si="16"/>
        <v>0</v>
      </c>
      <c r="I136" s="628">
        <f t="shared" si="17"/>
        <v>0</v>
      </c>
      <c r="J136" s="505">
        <f t="shared" si="20"/>
        <v>0</v>
      </c>
      <c r="K136" s="505"/>
      <c r="L136" s="513"/>
      <c r="M136" s="505">
        <f t="shared" si="21"/>
        <v>0</v>
      </c>
      <c r="N136" s="513"/>
      <c r="O136" s="505">
        <f t="shared" si="22"/>
        <v>0</v>
      </c>
      <c r="P136" s="505">
        <f t="shared" si="23"/>
        <v>0</v>
      </c>
      <c r="Q136" s="244"/>
      <c r="R136" s="244"/>
      <c r="S136" s="244"/>
      <c r="T136" s="244"/>
      <c r="U136" s="244"/>
    </row>
    <row r="137" spans="3:21">
      <c r="C137" s="496">
        <f>IF(D94="","-",+C136+1)</f>
        <v>2053</v>
      </c>
      <c r="D137" s="350">
        <f>IF(F136+SUM(E$100:E136)=D$93,F136,D$93-SUM(E$100:E136))</f>
        <v>0</v>
      </c>
      <c r="E137" s="510">
        <f>IF(+J97&lt;F136,J97,D137)</f>
        <v>0</v>
      </c>
      <c r="F137" s="511">
        <f t="shared" si="18"/>
        <v>0</v>
      </c>
      <c r="G137" s="511">
        <f t="shared" si="19"/>
        <v>0</v>
      </c>
      <c r="H137" s="646">
        <f t="shared" si="16"/>
        <v>0</v>
      </c>
      <c r="I137" s="628">
        <f t="shared" si="17"/>
        <v>0</v>
      </c>
      <c r="J137" s="505">
        <f t="shared" si="20"/>
        <v>0</v>
      </c>
      <c r="K137" s="505"/>
      <c r="L137" s="513"/>
      <c r="M137" s="505">
        <f t="shared" si="21"/>
        <v>0</v>
      </c>
      <c r="N137" s="513"/>
      <c r="O137" s="505">
        <f t="shared" si="22"/>
        <v>0</v>
      </c>
      <c r="P137" s="505">
        <f t="shared" si="23"/>
        <v>0</v>
      </c>
      <c r="Q137" s="244"/>
      <c r="R137" s="244"/>
      <c r="S137" s="244"/>
      <c r="T137" s="244"/>
      <c r="U137" s="244"/>
    </row>
    <row r="138" spans="3:21">
      <c r="C138" s="496">
        <f>IF(D94="","-",+C137+1)</f>
        <v>2054</v>
      </c>
      <c r="D138" s="350">
        <f>IF(F137+SUM(E$100:E137)=D$93,F137,D$93-SUM(E$100:E137))</f>
        <v>0</v>
      </c>
      <c r="E138" s="510">
        <f>IF(+J97&lt;F137,J97,D138)</f>
        <v>0</v>
      </c>
      <c r="F138" s="511">
        <f t="shared" si="18"/>
        <v>0</v>
      </c>
      <c r="G138" s="511">
        <f t="shared" si="19"/>
        <v>0</v>
      </c>
      <c r="H138" s="646">
        <f t="shared" si="16"/>
        <v>0</v>
      </c>
      <c r="I138" s="628">
        <f t="shared" si="17"/>
        <v>0</v>
      </c>
      <c r="J138" s="505">
        <f t="shared" si="20"/>
        <v>0</v>
      </c>
      <c r="K138" s="505"/>
      <c r="L138" s="513"/>
      <c r="M138" s="505">
        <f t="shared" si="21"/>
        <v>0</v>
      </c>
      <c r="N138" s="513"/>
      <c r="O138" s="505">
        <f t="shared" si="22"/>
        <v>0</v>
      </c>
      <c r="P138" s="505">
        <f t="shared" si="23"/>
        <v>0</v>
      </c>
      <c r="Q138" s="244"/>
      <c r="R138" s="244"/>
      <c r="S138" s="244"/>
      <c r="T138" s="244"/>
      <c r="U138" s="244"/>
    </row>
    <row r="139" spans="3:21">
      <c r="C139" s="496">
        <f>IF(D94="","-",+C138+1)</f>
        <v>2055</v>
      </c>
      <c r="D139" s="350">
        <f>IF(F138+SUM(E$100:E138)=D$93,F138,D$93-SUM(E$100:E138))</f>
        <v>0</v>
      </c>
      <c r="E139" s="510">
        <f>IF(+J97&lt;F138,J97,D139)</f>
        <v>0</v>
      </c>
      <c r="F139" s="511">
        <f t="shared" si="18"/>
        <v>0</v>
      </c>
      <c r="G139" s="511">
        <f t="shared" si="19"/>
        <v>0</v>
      </c>
      <c r="H139" s="646">
        <f t="shared" si="16"/>
        <v>0</v>
      </c>
      <c r="I139" s="628">
        <f t="shared" si="17"/>
        <v>0</v>
      </c>
      <c r="J139" s="505">
        <f t="shared" si="20"/>
        <v>0</v>
      </c>
      <c r="K139" s="505"/>
      <c r="L139" s="513"/>
      <c r="M139" s="505">
        <f t="shared" si="21"/>
        <v>0</v>
      </c>
      <c r="N139" s="513"/>
      <c r="O139" s="505">
        <f t="shared" si="22"/>
        <v>0</v>
      </c>
      <c r="P139" s="505">
        <f t="shared" si="23"/>
        <v>0</v>
      </c>
      <c r="Q139" s="244"/>
      <c r="R139" s="244"/>
      <c r="S139" s="244"/>
      <c r="T139" s="244"/>
      <c r="U139" s="244"/>
    </row>
    <row r="140" spans="3:21">
      <c r="C140" s="496">
        <f>IF(D94="","-",+C139+1)</f>
        <v>2056</v>
      </c>
      <c r="D140" s="350">
        <f>IF(F139+SUM(E$100:E139)=D$93,F139,D$93-SUM(E$100:E139))</f>
        <v>0</v>
      </c>
      <c r="E140" s="510">
        <f>IF(+J97&lt;F139,J97,D140)</f>
        <v>0</v>
      </c>
      <c r="F140" s="511">
        <f t="shared" si="18"/>
        <v>0</v>
      </c>
      <c r="G140" s="511">
        <f t="shared" si="19"/>
        <v>0</v>
      </c>
      <c r="H140" s="646">
        <f t="shared" si="16"/>
        <v>0</v>
      </c>
      <c r="I140" s="628">
        <f t="shared" si="17"/>
        <v>0</v>
      </c>
      <c r="J140" s="505">
        <f t="shared" si="20"/>
        <v>0</v>
      </c>
      <c r="K140" s="505"/>
      <c r="L140" s="513"/>
      <c r="M140" s="505">
        <f t="shared" si="21"/>
        <v>0</v>
      </c>
      <c r="N140" s="513"/>
      <c r="O140" s="505">
        <f t="shared" si="22"/>
        <v>0</v>
      </c>
      <c r="P140" s="505">
        <f t="shared" si="23"/>
        <v>0</v>
      </c>
      <c r="Q140" s="244"/>
      <c r="R140" s="244"/>
      <c r="S140" s="244"/>
      <c r="T140" s="244"/>
      <c r="U140" s="244"/>
    </row>
    <row r="141" spans="3:21">
      <c r="C141" s="496">
        <f>IF(D94="","-",+C140+1)</f>
        <v>2057</v>
      </c>
      <c r="D141" s="350">
        <f>IF(F140+SUM(E$100:E140)=D$93,F140,D$93-SUM(E$100:E140))</f>
        <v>0</v>
      </c>
      <c r="E141" s="510">
        <f>IF(+J97&lt;F140,J97,D141)</f>
        <v>0</v>
      </c>
      <c r="F141" s="511">
        <f t="shared" si="18"/>
        <v>0</v>
      </c>
      <c r="G141" s="511">
        <f t="shared" si="19"/>
        <v>0</v>
      </c>
      <c r="H141" s="646">
        <f t="shared" si="16"/>
        <v>0</v>
      </c>
      <c r="I141" s="628">
        <f t="shared" si="17"/>
        <v>0</v>
      </c>
      <c r="J141" s="505">
        <f t="shared" si="20"/>
        <v>0</v>
      </c>
      <c r="K141" s="505"/>
      <c r="L141" s="513"/>
      <c r="M141" s="505">
        <f t="shared" si="21"/>
        <v>0</v>
      </c>
      <c r="N141" s="513"/>
      <c r="O141" s="505">
        <f t="shared" si="22"/>
        <v>0</v>
      </c>
      <c r="P141" s="505">
        <f t="shared" si="23"/>
        <v>0</v>
      </c>
      <c r="Q141" s="244"/>
      <c r="R141" s="244"/>
      <c r="S141" s="244"/>
      <c r="T141" s="244"/>
      <c r="U141" s="244"/>
    </row>
    <row r="142" spans="3:21">
      <c r="C142" s="496">
        <f>IF(D94="","-",+C141+1)</f>
        <v>2058</v>
      </c>
      <c r="D142" s="350">
        <f>IF(F141+SUM(E$100:E141)=D$93,F141,D$93-SUM(E$100:E141))</f>
        <v>0</v>
      </c>
      <c r="E142" s="510">
        <f>IF(+J97&lt;F141,J97,D142)</f>
        <v>0</v>
      </c>
      <c r="F142" s="511">
        <f t="shared" si="18"/>
        <v>0</v>
      </c>
      <c r="G142" s="511">
        <f t="shared" si="19"/>
        <v>0</v>
      </c>
      <c r="H142" s="646">
        <f t="shared" si="16"/>
        <v>0</v>
      </c>
      <c r="I142" s="628">
        <f t="shared" si="17"/>
        <v>0</v>
      </c>
      <c r="J142" s="505">
        <f t="shared" si="20"/>
        <v>0</v>
      </c>
      <c r="K142" s="505"/>
      <c r="L142" s="513"/>
      <c r="M142" s="505">
        <f t="shared" si="21"/>
        <v>0</v>
      </c>
      <c r="N142" s="513"/>
      <c r="O142" s="505">
        <f t="shared" si="22"/>
        <v>0</v>
      </c>
      <c r="P142" s="505">
        <f t="shared" si="23"/>
        <v>0</v>
      </c>
      <c r="Q142" s="244"/>
      <c r="R142" s="244"/>
      <c r="S142" s="244"/>
      <c r="T142" s="244"/>
      <c r="U142" s="244"/>
    </row>
    <row r="143" spans="3:21">
      <c r="C143" s="496">
        <f>IF(D94="","-",+C142+1)</f>
        <v>2059</v>
      </c>
      <c r="D143" s="350">
        <f>IF(F142+SUM(E$100:E142)=D$93,F142,D$93-SUM(E$100:E142))</f>
        <v>0</v>
      </c>
      <c r="E143" s="510">
        <f>IF(+J97&lt;F142,J97,D143)</f>
        <v>0</v>
      </c>
      <c r="F143" s="511">
        <f t="shared" si="18"/>
        <v>0</v>
      </c>
      <c r="G143" s="511">
        <f t="shared" si="19"/>
        <v>0</v>
      </c>
      <c r="H143" s="646">
        <f t="shared" si="16"/>
        <v>0</v>
      </c>
      <c r="I143" s="628">
        <f t="shared" si="17"/>
        <v>0</v>
      </c>
      <c r="J143" s="505">
        <f t="shared" si="20"/>
        <v>0</v>
      </c>
      <c r="K143" s="505"/>
      <c r="L143" s="513"/>
      <c r="M143" s="505">
        <f t="shared" si="21"/>
        <v>0</v>
      </c>
      <c r="N143" s="513"/>
      <c r="O143" s="505">
        <f t="shared" si="22"/>
        <v>0</v>
      </c>
      <c r="P143" s="505">
        <f t="shared" si="23"/>
        <v>0</v>
      </c>
      <c r="Q143" s="244"/>
      <c r="R143" s="244"/>
      <c r="S143" s="244"/>
      <c r="T143" s="244"/>
      <c r="U143" s="244"/>
    </row>
    <row r="144" spans="3:21">
      <c r="C144" s="496">
        <f>IF(D94="","-",+C143+1)</f>
        <v>2060</v>
      </c>
      <c r="D144" s="350">
        <f>IF(F143+SUM(E$100:E143)=D$93,F143,D$93-SUM(E$100:E143))</f>
        <v>0</v>
      </c>
      <c r="E144" s="510">
        <f>IF(+J97&lt;F143,J97,D144)</f>
        <v>0</v>
      </c>
      <c r="F144" s="511">
        <f t="shared" si="18"/>
        <v>0</v>
      </c>
      <c r="G144" s="511">
        <f t="shared" si="19"/>
        <v>0</v>
      </c>
      <c r="H144" s="646">
        <f t="shared" si="16"/>
        <v>0</v>
      </c>
      <c r="I144" s="628">
        <f t="shared" si="17"/>
        <v>0</v>
      </c>
      <c r="J144" s="505">
        <f t="shared" si="20"/>
        <v>0</v>
      </c>
      <c r="K144" s="505"/>
      <c r="L144" s="513"/>
      <c r="M144" s="505">
        <f t="shared" si="21"/>
        <v>0</v>
      </c>
      <c r="N144" s="513"/>
      <c r="O144" s="505">
        <f t="shared" si="22"/>
        <v>0</v>
      </c>
      <c r="P144" s="505">
        <f t="shared" si="23"/>
        <v>0</v>
      </c>
      <c r="Q144" s="244"/>
      <c r="R144" s="244"/>
      <c r="S144" s="244"/>
      <c r="T144" s="244"/>
      <c r="U144" s="244"/>
    </row>
    <row r="145" spans="3:21">
      <c r="C145" s="496">
        <f>IF(D94="","-",+C144+1)</f>
        <v>2061</v>
      </c>
      <c r="D145" s="350">
        <f>IF(F144+SUM(E$100:E144)=D$93,F144,D$93-SUM(E$100:E144))</f>
        <v>0</v>
      </c>
      <c r="E145" s="510">
        <f>IF(+J97&lt;F144,J97,D145)</f>
        <v>0</v>
      </c>
      <c r="F145" s="511">
        <f t="shared" si="18"/>
        <v>0</v>
      </c>
      <c r="G145" s="511">
        <f t="shared" si="19"/>
        <v>0</v>
      </c>
      <c r="H145" s="646">
        <f t="shared" si="16"/>
        <v>0</v>
      </c>
      <c r="I145" s="628">
        <f t="shared" si="17"/>
        <v>0</v>
      </c>
      <c r="J145" s="505">
        <f t="shared" si="20"/>
        <v>0</v>
      </c>
      <c r="K145" s="505"/>
      <c r="L145" s="513"/>
      <c r="M145" s="505">
        <f t="shared" si="21"/>
        <v>0</v>
      </c>
      <c r="N145" s="513"/>
      <c r="O145" s="505">
        <f t="shared" si="22"/>
        <v>0</v>
      </c>
      <c r="P145" s="505">
        <f t="shared" si="23"/>
        <v>0</v>
      </c>
      <c r="Q145" s="244"/>
      <c r="R145" s="244"/>
      <c r="S145" s="244"/>
      <c r="T145" s="244"/>
      <c r="U145" s="244"/>
    </row>
    <row r="146" spans="3:21">
      <c r="C146" s="496">
        <f>IF(D94="","-",+C145+1)</f>
        <v>2062</v>
      </c>
      <c r="D146" s="350">
        <f>IF(F145+SUM(E$100:E145)=D$93,F145,D$93-SUM(E$100:E145))</f>
        <v>0</v>
      </c>
      <c r="E146" s="510">
        <f>IF(+J97&lt;F145,J97,D146)</f>
        <v>0</v>
      </c>
      <c r="F146" s="511">
        <f t="shared" si="18"/>
        <v>0</v>
      </c>
      <c r="G146" s="511">
        <f t="shared" si="19"/>
        <v>0</v>
      </c>
      <c r="H146" s="646">
        <f t="shared" si="16"/>
        <v>0</v>
      </c>
      <c r="I146" s="628">
        <f t="shared" si="17"/>
        <v>0</v>
      </c>
      <c r="J146" s="505">
        <f t="shared" si="20"/>
        <v>0</v>
      </c>
      <c r="K146" s="505"/>
      <c r="L146" s="513"/>
      <c r="M146" s="505">
        <f t="shared" si="21"/>
        <v>0</v>
      </c>
      <c r="N146" s="513"/>
      <c r="O146" s="505">
        <f t="shared" si="22"/>
        <v>0</v>
      </c>
      <c r="P146" s="505">
        <f t="shared" si="23"/>
        <v>0</v>
      </c>
      <c r="Q146" s="244"/>
      <c r="R146" s="244"/>
      <c r="S146" s="244"/>
      <c r="T146" s="244"/>
      <c r="U146" s="244"/>
    </row>
    <row r="147" spans="3:21">
      <c r="C147" s="496">
        <f>IF(D94="","-",+C146+1)</f>
        <v>2063</v>
      </c>
      <c r="D147" s="350">
        <f>IF(F146+SUM(E$100:E146)=D$93,F146,D$93-SUM(E$100:E146))</f>
        <v>0</v>
      </c>
      <c r="E147" s="510">
        <f>IF(+J97&lt;F146,J97,D147)</f>
        <v>0</v>
      </c>
      <c r="F147" s="511">
        <f t="shared" si="18"/>
        <v>0</v>
      </c>
      <c r="G147" s="511">
        <f t="shared" si="19"/>
        <v>0</v>
      </c>
      <c r="H147" s="646">
        <f t="shared" si="16"/>
        <v>0</v>
      </c>
      <c r="I147" s="628">
        <f t="shared" si="17"/>
        <v>0</v>
      </c>
      <c r="J147" s="505">
        <f t="shared" si="20"/>
        <v>0</v>
      </c>
      <c r="K147" s="505"/>
      <c r="L147" s="513"/>
      <c r="M147" s="505">
        <f t="shared" si="21"/>
        <v>0</v>
      </c>
      <c r="N147" s="513"/>
      <c r="O147" s="505">
        <f t="shared" si="22"/>
        <v>0</v>
      </c>
      <c r="P147" s="505">
        <f t="shared" si="23"/>
        <v>0</v>
      </c>
      <c r="Q147" s="244"/>
      <c r="R147" s="244"/>
      <c r="S147" s="244"/>
      <c r="T147" s="244"/>
      <c r="U147" s="244"/>
    </row>
    <row r="148" spans="3:21">
      <c r="C148" s="496">
        <f>IF(D94="","-",+C147+1)</f>
        <v>2064</v>
      </c>
      <c r="D148" s="350">
        <f>IF(F147+SUM(E$100:E147)=D$93,F147,D$93-SUM(E$100:E147))</f>
        <v>0</v>
      </c>
      <c r="E148" s="510">
        <f>IF(+J97&lt;F147,J97,D148)</f>
        <v>0</v>
      </c>
      <c r="F148" s="511">
        <f t="shared" si="18"/>
        <v>0</v>
      </c>
      <c r="G148" s="511">
        <f t="shared" si="19"/>
        <v>0</v>
      </c>
      <c r="H148" s="646">
        <f t="shared" si="16"/>
        <v>0</v>
      </c>
      <c r="I148" s="628">
        <f t="shared" si="17"/>
        <v>0</v>
      </c>
      <c r="J148" s="505">
        <f t="shared" si="20"/>
        <v>0</v>
      </c>
      <c r="K148" s="505"/>
      <c r="L148" s="513"/>
      <c r="M148" s="505">
        <f t="shared" si="21"/>
        <v>0</v>
      </c>
      <c r="N148" s="513"/>
      <c r="O148" s="505">
        <f t="shared" si="22"/>
        <v>0</v>
      </c>
      <c r="P148" s="505">
        <f t="shared" si="23"/>
        <v>0</v>
      </c>
      <c r="Q148" s="244"/>
      <c r="R148" s="244"/>
      <c r="S148" s="244"/>
      <c r="T148" s="244"/>
      <c r="U148" s="244"/>
    </row>
    <row r="149" spans="3:21">
      <c r="C149" s="496">
        <f>IF(D94="","-",+C148+1)</f>
        <v>2065</v>
      </c>
      <c r="D149" s="350">
        <f>IF(F148+SUM(E$100:E148)=D$93,F148,D$93-SUM(E$100:E148))</f>
        <v>0</v>
      </c>
      <c r="E149" s="510">
        <f>IF(+J97&lt;F148,J97,D149)</f>
        <v>0</v>
      </c>
      <c r="F149" s="511">
        <f t="shared" si="18"/>
        <v>0</v>
      </c>
      <c r="G149" s="511">
        <f t="shared" si="19"/>
        <v>0</v>
      </c>
      <c r="H149" s="646">
        <f t="shared" si="16"/>
        <v>0</v>
      </c>
      <c r="I149" s="628">
        <f t="shared" si="17"/>
        <v>0</v>
      </c>
      <c r="J149" s="505">
        <f t="shared" si="20"/>
        <v>0</v>
      </c>
      <c r="K149" s="505"/>
      <c r="L149" s="513"/>
      <c r="M149" s="505">
        <f t="shared" si="21"/>
        <v>0</v>
      </c>
      <c r="N149" s="513"/>
      <c r="O149" s="505">
        <f t="shared" si="22"/>
        <v>0</v>
      </c>
      <c r="P149" s="505">
        <f t="shared" si="23"/>
        <v>0</v>
      </c>
      <c r="Q149" s="244"/>
      <c r="R149" s="244"/>
      <c r="S149" s="244"/>
      <c r="T149" s="244"/>
      <c r="U149" s="244"/>
    </row>
    <row r="150" spans="3:21">
      <c r="C150" s="496">
        <f>IF(D94="","-",+C149+1)</f>
        <v>2066</v>
      </c>
      <c r="D150" s="350">
        <f>IF(F149+SUM(E$100:E149)=D$93,F149,D$93-SUM(E$100:E149))</f>
        <v>0</v>
      </c>
      <c r="E150" s="510">
        <f>IF(+J97&lt;F149,J97,D150)</f>
        <v>0</v>
      </c>
      <c r="F150" s="511">
        <f t="shared" si="18"/>
        <v>0</v>
      </c>
      <c r="G150" s="511">
        <f t="shared" si="19"/>
        <v>0</v>
      </c>
      <c r="H150" s="646">
        <f t="shared" si="16"/>
        <v>0</v>
      </c>
      <c r="I150" s="628">
        <f t="shared" si="17"/>
        <v>0</v>
      </c>
      <c r="J150" s="505">
        <f t="shared" si="20"/>
        <v>0</v>
      </c>
      <c r="K150" s="505"/>
      <c r="L150" s="513"/>
      <c r="M150" s="505">
        <f t="shared" si="21"/>
        <v>0</v>
      </c>
      <c r="N150" s="513"/>
      <c r="O150" s="505">
        <f t="shared" si="22"/>
        <v>0</v>
      </c>
      <c r="P150" s="505">
        <f t="shared" si="23"/>
        <v>0</v>
      </c>
      <c r="Q150" s="244"/>
      <c r="R150" s="244"/>
      <c r="S150" s="244"/>
      <c r="T150" s="244"/>
      <c r="U150" s="244"/>
    </row>
    <row r="151" spans="3:21">
      <c r="C151" s="496">
        <f>IF(D94="","-",+C150+1)</f>
        <v>2067</v>
      </c>
      <c r="D151" s="350">
        <f>IF(F150+SUM(E$100:E150)=D$93,F150,D$93-SUM(E$100:E150))</f>
        <v>0</v>
      </c>
      <c r="E151" s="510">
        <f>IF(+J97&lt;F150,J97,D151)</f>
        <v>0</v>
      </c>
      <c r="F151" s="511">
        <f t="shared" si="18"/>
        <v>0</v>
      </c>
      <c r="G151" s="511">
        <f t="shared" si="19"/>
        <v>0</v>
      </c>
      <c r="H151" s="646">
        <f t="shared" si="16"/>
        <v>0</v>
      </c>
      <c r="I151" s="628">
        <f t="shared" si="17"/>
        <v>0</v>
      </c>
      <c r="J151" s="505">
        <f t="shared" si="20"/>
        <v>0</v>
      </c>
      <c r="K151" s="505"/>
      <c r="L151" s="513"/>
      <c r="M151" s="505">
        <f t="shared" si="21"/>
        <v>0</v>
      </c>
      <c r="N151" s="513"/>
      <c r="O151" s="505">
        <f t="shared" si="22"/>
        <v>0</v>
      </c>
      <c r="P151" s="505">
        <f t="shared" si="23"/>
        <v>0</v>
      </c>
      <c r="Q151" s="244"/>
      <c r="R151" s="244"/>
      <c r="S151" s="244"/>
      <c r="T151" s="244"/>
      <c r="U151" s="244"/>
    </row>
    <row r="152" spans="3:21">
      <c r="C152" s="496">
        <f>IF(D94="","-",+C151+1)</f>
        <v>2068</v>
      </c>
      <c r="D152" s="350">
        <f>IF(F151+SUM(E$100:E151)=D$93,F151,D$93-SUM(E$100:E151))</f>
        <v>0</v>
      </c>
      <c r="E152" s="510">
        <f>IF(+J97&lt;F151,J97,D152)</f>
        <v>0</v>
      </c>
      <c r="F152" s="511">
        <f t="shared" si="18"/>
        <v>0</v>
      </c>
      <c r="G152" s="511">
        <f t="shared" si="19"/>
        <v>0</v>
      </c>
      <c r="H152" s="646">
        <f t="shared" si="16"/>
        <v>0</v>
      </c>
      <c r="I152" s="628">
        <f t="shared" si="17"/>
        <v>0</v>
      </c>
      <c r="J152" s="505">
        <f t="shared" si="20"/>
        <v>0</v>
      </c>
      <c r="K152" s="505"/>
      <c r="L152" s="513"/>
      <c r="M152" s="505">
        <f t="shared" si="21"/>
        <v>0</v>
      </c>
      <c r="N152" s="513"/>
      <c r="O152" s="505">
        <f t="shared" si="22"/>
        <v>0</v>
      </c>
      <c r="P152" s="505">
        <f t="shared" si="23"/>
        <v>0</v>
      </c>
      <c r="Q152" s="244"/>
      <c r="R152" s="244"/>
      <c r="S152" s="244"/>
      <c r="T152" s="244"/>
      <c r="U152" s="244"/>
    </row>
    <row r="153" spans="3:21">
      <c r="C153" s="496">
        <f>IF(D94="","-",+C152+1)</f>
        <v>2069</v>
      </c>
      <c r="D153" s="350">
        <f>IF(F152+SUM(E$100:E152)=D$93,F152,D$93-SUM(E$100:E152))</f>
        <v>0</v>
      </c>
      <c r="E153" s="510">
        <f>IF(+J97&lt;F152,J97,D153)</f>
        <v>0</v>
      </c>
      <c r="F153" s="511">
        <f t="shared" si="18"/>
        <v>0</v>
      </c>
      <c r="G153" s="511">
        <f t="shared" si="19"/>
        <v>0</v>
      </c>
      <c r="H153" s="646">
        <f t="shared" si="16"/>
        <v>0</v>
      </c>
      <c r="I153" s="628">
        <f t="shared" si="17"/>
        <v>0</v>
      </c>
      <c r="J153" s="505">
        <f t="shared" si="20"/>
        <v>0</v>
      </c>
      <c r="K153" s="505"/>
      <c r="L153" s="513"/>
      <c r="M153" s="505">
        <f t="shared" si="21"/>
        <v>0</v>
      </c>
      <c r="N153" s="513"/>
      <c r="O153" s="505">
        <f t="shared" si="22"/>
        <v>0</v>
      </c>
      <c r="P153" s="505">
        <f t="shared" si="23"/>
        <v>0</v>
      </c>
      <c r="Q153" s="244"/>
      <c r="R153" s="244"/>
      <c r="S153" s="244"/>
      <c r="T153" s="244"/>
      <c r="U153" s="244"/>
    </row>
    <row r="154" spans="3:21">
      <c r="C154" s="496">
        <f>IF(D94="","-",+C153+1)</f>
        <v>2070</v>
      </c>
      <c r="D154" s="350">
        <f>IF(F153+SUM(E$100:E153)=D$93,F153,D$93-SUM(E$100:E153))</f>
        <v>0</v>
      </c>
      <c r="E154" s="510">
        <f>IF(+J97&lt;F153,J97,D154)</f>
        <v>0</v>
      </c>
      <c r="F154" s="511">
        <f t="shared" si="18"/>
        <v>0</v>
      </c>
      <c r="G154" s="511">
        <f t="shared" si="19"/>
        <v>0</v>
      </c>
      <c r="H154" s="646">
        <f t="shared" si="16"/>
        <v>0</v>
      </c>
      <c r="I154" s="628">
        <f t="shared" si="17"/>
        <v>0</v>
      </c>
      <c r="J154" s="505">
        <f t="shared" si="20"/>
        <v>0</v>
      </c>
      <c r="K154" s="505"/>
      <c r="L154" s="513"/>
      <c r="M154" s="505">
        <f t="shared" si="21"/>
        <v>0</v>
      </c>
      <c r="N154" s="513"/>
      <c r="O154" s="505">
        <f t="shared" si="22"/>
        <v>0</v>
      </c>
      <c r="P154" s="505">
        <f t="shared" si="23"/>
        <v>0</v>
      </c>
      <c r="Q154" s="244"/>
      <c r="R154" s="244"/>
      <c r="S154" s="244"/>
      <c r="T154" s="244"/>
      <c r="U154" s="244"/>
    </row>
    <row r="155" spans="3:21" ht="13.5" thickBot="1">
      <c r="C155" s="525">
        <f>IF(D94="","-",+C154+1)</f>
        <v>2071</v>
      </c>
      <c r="D155" s="636">
        <f>IF(F154+SUM(E$100:E154)=D$93,F154,D$93-SUM(E$100:E154))</f>
        <v>0</v>
      </c>
      <c r="E155" s="527">
        <f>IF(+J97&lt;F154,J97,D155)</f>
        <v>0</v>
      </c>
      <c r="F155" s="528">
        <f t="shared" si="18"/>
        <v>0</v>
      </c>
      <c r="G155" s="528">
        <f t="shared" si="19"/>
        <v>0</v>
      </c>
      <c r="H155" s="646">
        <f t="shared" si="16"/>
        <v>0</v>
      </c>
      <c r="I155" s="624">
        <f t="shared" si="17"/>
        <v>0</v>
      </c>
      <c r="J155" s="532">
        <f t="shared" si="20"/>
        <v>0</v>
      </c>
      <c r="K155" s="505"/>
      <c r="L155" s="531"/>
      <c r="M155" s="532">
        <f t="shared" si="21"/>
        <v>0</v>
      </c>
      <c r="N155" s="531"/>
      <c r="O155" s="532">
        <f t="shared" si="22"/>
        <v>0</v>
      </c>
      <c r="P155" s="532">
        <f t="shared" si="23"/>
        <v>0</v>
      </c>
      <c r="Q155" s="244"/>
      <c r="R155" s="244"/>
      <c r="S155" s="244"/>
      <c r="T155" s="244"/>
      <c r="U155" s="244"/>
    </row>
    <row r="156" spans="3:21">
      <c r="C156" s="350" t="s">
        <v>75</v>
      </c>
      <c r="D156" s="295"/>
      <c r="E156" s="295">
        <f>SUM(E100:E155)</f>
        <v>68247468.999999985</v>
      </c>
      <c r="F156" s="295"/>
      <c r="G156" s="295"/>
      <c r="H156" s="295">
        <f>SUM(H100:H155)</f>
        <v>172051133.47522956</v>
      </c>
      <c r="I156" s="295">
        <f>SUM(I100:I155)</f>
        <v>172051133.47522956</v>
      </c>
      <c r="J156" s="295">
        <f>SUM(J100:J155)</f>
        <v>0</v>
      </c>
      <c r="K156" s="295"/>
      <c r="L156" s="295"/>
      <c r="M156" s="295"/>
      <c r="N156" s="295"/>
      <c r="O156" s="295"/>
      <c r="P156" s="244"/>
      <c r="Q156" s="244"/>
      <c r="R156" s="244"/>
      <c r="S156" s="244"/>
      <c r="T156" s="244"/>
      <c r="U156" s="244"/>
    </row>
    <row r="157" spans="3:21">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c r="C158" s="575"/>
      <c r="D158" s="293"/>
      <c r="E158" s="244"/>
      <c r="F158" s="244"/>
      <c r="G158" s="244"/>
      <c r="H158" s="244"/>
      <c r="I158" s="326"/>
      <c r="J158" s="326"/>
      <c r="K158" s="295"/>
      <c r="L158" s="326"/>
      <c r="M158" s="326"/>
      <c r="N158" s="326"/>
      <c r="O158" s="326"/>
      <c r="P158" s="244"/>
      <c r="Q158" s="244"/>
      <c r="R158" s="244"/>
      <c r="S158" s="244"/>
      <c r="T158" s="244"/>
      <c r="U158" s="244"/>
    </row>
    <row r="159" spans="3:21">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c r="C162" s="576"/>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4" priority="1" stopIfTrue="1" operator="equal">
      <formula>$I$10</formula>
    </cfRule>
  </conditionalFormatting>
  <conditionalFormatting sqref="C100:C155">
    <cfRule type="cellIs" dxfId="23"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5"/>
  <dimension ref="A1:U163"/>
  <sheetViews>
    <sheetView zoomScaleNormal="100" zoomScaleSheetLayoutView="85"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15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1401378.1525541013</v>
      </c>
      <c r="P5" s="244"/>
      <c r="R5" s="244"/>
      <c r="S5" s="244"/>
      <c r="T5" s="244"/>
      <c r="U5" s="244"/>
    </row>
    <row r="6" spans="1:21" ht="15.75">
      <c r="C6" s="236"/>
      <c r="D6" s="293"/>
      <c r="E6" s="244"/>
      <c r="F6" s="244"/>
      <c r="G6" s="244"/>
      <c r="H6" s="450"/>
      <c r="I6" s="450"/>
      <c r="J6" s="451"/>
      <c r="K6" s="452" t="s">
        <v>243</v>
      </c>
      <c r="L6" s="453"/>
      <c r="M6" s="279"/>
      <c r="N6" s="454">
        <f>VLOOKUP(I10,C17:I73,6)</f>
        <v>1401378.1525541013</v>
      </c>
      <c r="O6" s="244"/>
      <c r="P6" s="244"/>
      <c r="R6" s="244"/>
      <c r="S6" s="244"/>
      <c r="T6" s="244"/>
      <c r="U6" s="244"/>
    </row>
    <row r="7" spans="1:21" ht="13.5" thickBot="1">
      <c r="C7" s="455" t="s">
        <v>46</v>
      </c>
      <c r="D7" s="456" t="s">
        <v>244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v>30619</v>
      </c>
      <c r="E9" s="466"/>
      <c r="F9" s="466"/>
      <c r="G9" s="466"/>
      <c r="H9" s="466"/>
      <c r="I9" s="467"/>
      <c r="J9" s="468"/>
      <c r="O9" s="469"/>
      <c r="P9" s="279"/>
      <c r="R9" s="244"/>
      <c r="S9" s="244"/>
      <c r="T9" s="244"/>
      <c r="U9" s="244"/>
    </row>
    <row r="10" spans="1:21">
      <c r="C10" s="470" t="s">
        <v>49</v>
      </c>
      <c r="D10" s="471">
        <v>11056565</v>
      </c>
      <c r="E10" s="300" t="s">
        <v>50</v>
      </c>
      <c r="F10" s="469"/>
      <c r="G10" s="409"/>
      <c r="H10" s="409"/>
      <c r="I10" s="472">
        <f>+'OKT.WS.F.BPU.ATRR.Projected'!R100</f>
        <v>2020</v>
      </c>
      <c r="J10" s="468"/>
      <c r="K10" s="295" t="s">
        <v>51</v>
      </c>
      <c r="O10" s="279"/>
      <c r="P10" s="279"/>
      <c r="R10" s="244"/>
      <c r="S10" s="244"/>
      <c r="T10" s="244"/>
      <c r="U10" s="244"/>
    </row>
    <row r="11" spans="1:21">
      <c r="C11" s="473" t="s">
        <v>52</v>
      </c>
      <c r="D11" s="474">
        <v>2017</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0.1064171487591708</v>
      </c>
      <c r="J12" s="579"/>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325193.0882352941</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73" si="0">IF(D17=F16,"","IU")</f>
        <v>IU</v>
      </c>
      <c r="C17" s="581">
        <f>IF(D11= "","-",D11)</f>
        <v>2017</v>
      </c>
      <c r="D17" s="613">
        <v>0</v>
      </c>
      <c r="E17" s="621">
        <v>104355.95770200831</v>
      </c>
      <c r="F17" s="613">
        <v>10510644.042297991</v>
      </c>
      <c r="G17" s="621">
        <v>682125.91542676068</v>
      </c>
      <c r="H17" s="618">
        <v>682125.91542676068</v>
      </c>
      <c r="I17" s="501">
        <f>H17-G17</f>
        <v>0</v>
      </c>
      <c r="J17" s="501"/>
      <c r="K17" s="507">
        <f>+G17</f>
        <v>682125.91542676068</v>
      </c>
      <c r="L17" s="505">
        <f>IF(K17&lt;&gt;0,+G17-K17,0)</f>
        <v>0</v>
      </c>
      <c r="M17" s="507">
        <f>+H17</f>
        <v>682125.91542676068</v>
      </c>
      <c r="N17" s="587">
        <f t="shared" ref="N17:N73" si="1">IF(M17&lt;&gt;0,+H17-M17,0)</f>
        <v>0</v>
      </c>
      <c r="O17" s="505">
        <f t="shared" ref="O17:O73" si="2">+N17-L17</f>
        <v>0</v>
      </c>
      <c r="P17" s="279"/>
      <c r="R17" s="244"/>
      <c r="S17" s="244"/>
      <c r="T17" s="244"/>
      <c r="U17" s="244"/>
    </row>
    <row r="18" spans="2:21">
      <c r="B18" s="145" t="str">
        <f t="shared" si="0"/>
        <v/>
      </c>
      <c r="C18" s="496">
        <f>IF(D11="","-",+C17+1)</f>
        <v>2018</v>
      </c>
      <c r="D18" s="615">
        <v>10510644.042297991</v>
      </c>
      <c r="E18" s="614">
        <v>260328.43725382842</v>
      </c>
      <c r="F18" s="615">
        <v>10250315.605044162</v>
      </c>
      <c r="G18" s="614">
        <v>1479941.6722122387</v>
      </c>
      <c r="H18" s="618">
        <v>1479941.6722122387</v>
      </c>
      <c r="I18" s="501">
        <f>H18-G18</f>
        <v>0</v>
      </c>
      <c r="J18" s="501"/>
      <c r="K18" s="593">
        <f>+G18</f>
        <v>1479941.6722122387</v>
      </c>
      <c r="L18" s="597">
        <f>IF(K18&lt;&gt;0,+G18-K18,0)</f>
        <v>0</v>
      </c>
      <c r="M18" s="593">
        <f>+H18</f>
        <v>1479941.6722122387</v>
      </c>
      <c r="N18" s="505">
        <f>IF(M18&lt;&gt;0,+H18-M18,0)</f>
        <v>0</v>
      </c>
      <c r="O18" s="505">
        <f>+N18-L18</f>
        <v>0</v>
      </c>
      <c r="P18" s="279"/>
      <c r="R18" s="244"/>
      <c r="S18" s="244"/>
      <c r="T18" s="244"/>
      <c r="U18" s="244"/>
    </row>
    <row r="19" spans="2:21">
      <c r="B19" s="145" t="str">
        <f t="shared" si="0"/>
        <v/>
      </c>
      <c r="C19" s="496">
        <f>IF(D11="","-",+C18+1)</f>
        <v>2019</v>
      </c>
      <c r="D19" s="615">
        <v>10250315.605044162</v>
      </c>
      <c r="E19" s="614">
        <v>260328.43725382842</v>
      </c>
      <c r="F19" s="615">
        <v>9989987.1677903328</v>
      </c>
      <c r="G19" s="614">
        <v>1449355.4167689402</v>
      </c>
      <c r="H19" s="618">
        <v>1449355.4167689402</v>
      </c>
      <c r="I19" s="501">
        <f>H19-G19</f>
        <v>0</v>
      </c>
      <c r="J19" s="501"/>
      <c r="K19" s="593">
        <f>+G19</f>
        <v>1449355.4167689402</v>
      </c>
      <c r="L19" s="597">
        <f>IF(K19&lt;&gt;0,+G19-K19,0)</f>
        <v>0</v>
      </c>
      <c r="M19" s="593">
        <f>+H19</f>
        <v>1449355.4167689402</v>
      </c>
      <c r="N19" s="505">
        <f>IF(M19&lt;&gt;0,+H19-M19,0)</f>
        <v>0</v>
      </c>
      <c r="O19" s="505">
        <f>+N19-L19</f>
        <v>0</v>
      </c>
      <c r="P19" s="279"/>
      <c r="R19" s="244"/>
      <c r="S19" s="244"/>
      <c r="T19" s="244"/>
      <c r="U19" s="244"/>
    </row>
    <row r="20" spans="2:21">
      <c r="B20" s="145" t="str">
        <f t="shared" si="0"/>
        <v>IU</v>
      </c>
      <c r="C20" s="496">
        <f>IF(D11="","-",+C19+1)</f>
        <v>2020</v>
      </c>
      <c r="D20" s="615">
        <v>10431552.167790335</v>
      </c>
      <c r="E20" s="614">
        <v>323755.90908112278</v>
      </c>
      <c r="F20" s="615">
        <v>10107796.258709213</v>
      </c>
      <c r="G20" s="614">
        <v>1401378.1525541013</v>
      </c>
      <c r="H20" s="618">
        <v>1401378.1525541013</v>
      </c>
      <c r="I20" s="501">
        <f>H20-G20</f>
        <v>0</v>
      </c>
      <c r="J20" s="501"/>
      <c r="K20" s="593">
        <f>+G20</f>
        <v>1401378.1525541013</v>
      </c>
      <c r="L20" s="597">
        <f>IF(K20&lt;&gt;0,+G20-K20,0)</f>
        <v>0</v>
      </c>
      <c r="M20" s="593">
        <f>+H20</f>
        <v>1401378.1525541013</v>
      </c>
      <c r="N20" s="505">
        <f t="shared" si="1"/>
        <v>0</v>
      </c>
      <c r="O20" s="505">
        <f t="shared" si="2"/>
        <v>0</v>
      </c>
      <c r="P20" s="279"/>
      <c r="R20" s="244"/>
      <c r="S20" s="244"/>
      <c r="T20" s="244"/>
      <c r="U20" s="244"/>
    </row>
    <row r="21" spans="2:21">
      <c r="B21" s="145" t="str">
        <f t="shared" si="0"/>
        <v>IU</v>
      </c>
      <c r="C21" s="496">
        <f>IF(D12="","-",+C20+1)</f>
        <v>2021</v>
      </c>
      <c r="D21" s="615">
        <v>10053296.035884239</v>
      </c>
      <c r="E21" s="614">
        <v>356663.38709677418</v>
      </c>
      <c r="F21" s="615">
        <v>9696632.6487874649</v>
      </c>
      <c r="G21" s="614">
        <v>1424987.0679285447</v>
      </c>
      <c r="H21" s="618">
        <v>1424987.0679285447</v>
      </c>
      <c r="I21" s="501">
        <f t="shared" ref="I21:I73" si="3">H21-G21</f>
        <v>0</v>
      </c>
      <c r="J21" s="501"/>
      <c r="K21" s="593">
        <f>+G21</f>
        <v>1424987.0679285447</v>
      </c>
      <c r="L21" s="597">
        <f>IF(K21&lt;&gt;0,+G21-K21,0)</f>
        <v>0</v>
      </c>
      <c r="M21" s="593">
        <f>+H21</f>
        <v>1424987.0679285447</v>
      </c>
      <c r="N21" s="505">
        <f t="shared" si="1"/>
        <v>0</v>
      </c>
      <c r="O21" s="505">
        <f t="shared" si="2"/>
        <v>0</v>
      </c>
      <c r="P21" s="279"/>
      <c r="R21" s="244"/>
      <c r="S21" s="244"/>
      <c r="T21" s="244"/>
      <c r="U21" s="244"/>
    </row>
    <row r="22" spans="2:21">
      <c r="B22" s="145" t="str">
        <f t="shared" si="0"/>
        <v>IU</v>
      </c>
      <c r="C22" s="496">
        <f>IF(D11="","-",+C21+1)</f>
        <v>2022</v>
      </c>
      <c r="D22" s="509">
        <f>IF(F21+SUM(E$17:E21)=D$10,F21,D$10-SUM(E$17:E21))</f>
        <v>9751132.8716124371</v>
      </c>
      <c r="E22" s="510">
        <f t="shared" ref="E22:E40" si="4">IF(+I$14&lt;F21,I$14,D22)</f>
        <v>325193.0882352941</v>
      </c>
      <c r="F22" s="511">
        <f t="shared" ref="F22:F73" si="5">+D22-E22</f>
        <v>9425939.7833771426</v>
      </c>
      <c r="G22" s="512">
        <f t="shared" ref="G22:G73" si="6">(D22+F22)/2*I$12+E22</f>
        <v>1345577.7849810203</v>
      </c>
      <c r="H22" s="478">
        <f t="shared" ref="H22:H73" si="7">+(D22+F22)/2*I$13+E22</f>
        <v>1345577.7849810203</v>
      </c>
      <c r="I22" s="501">
        <f t="shared" si="3"/>
        <v>0</v>
      </c>
      <c r="J22" s="501"/>
      <c r="K22" s="513"/>
      <c r="L22" s="505">
        <f t="shared" ref="L22:L73" si="8">IF(K22&lt;&gt;0,+G22-K22,0)</f>
        <v>0</v>
      </c>
      <c r="M22" s="513"/>
      <c r="N22" s="505">
        <f t="shared" si="1"/>
        <v>0</v>
      </c>
      <c r="O22" s="505">
        <f t="shared" si="2"/>
        <v>0</v>
      </c>
      <c r="P22" s="279"/>
      <c r="R22" s="244"/>
      <c r="S22" s="244"/>
      <c r="T22" s="244"/>
      <c r="U22" s="244"/>
    </row>
    <row r="23" spans="2:21">
      <c r="B23" s="145" t="str">
        <f t="shared" si="0"/>
        <v/>
      </c>
      <c r="C23" s="496">
        <f>IF(D11="","-",+C22+1)</f>
        <v>2023</v>
      </c>
      <c r="D23" s="509">
        <f>IF(F22+SUM(E$17:E22)=D$10,F22,D$10-SUM(E$17:E22))</f>
        <v>9425939.7833771426</v>
      </c>
      <c r="E23" s="510">
        <f t="shared" si="4"/>
        <v>325193.0882352941</v>
      </c>
      <c r="F23" s="511">
        <f t="shared" si="5"/>
        <v>9100746.6951418482</v>
      </c>
      <c r="G23" s="512">
        <f t="shared" si="6"/>
        <v>1310971.6637348309</v>
      </c>
      <c r="H23" s="478">
        <f t="shared" si="7"/>
        <v>1310971.6637348309</v>
      </c>
      <c r="I23" s="501">
        <f t="shared" si="3"/>
        <v>0</v>
      </c>
      <c r="J23" s="501"/>
      <c r="K23" s="513"/>
      <c r="L23" s="505">
        <f t="shared" si="8"/>
        <v>0</v>
      </c>
      <c r="M23" s="513"/>
      <c r="N23" s="505">
        <f t="shared" si="1"/>
        <v>0</v>
      </c>
      <c r="O23" s="505">
        <f t="shared" si="2"/>
        <v>0</v>
      </c>
      <c r="P23" s="279"/>
      <c r="R23" s="244"/>
      <c r="S23" s="244"/>
      <c r="T23" s="244"/>
      <c r="U23" s="244"/>
    </row>
    <row r="24" spans="2:21">
      <c r="B24" s="145" t="str">
        <f t="shared" si="0"/>
        <v/>
      </c>
      <c r="C24" s="496">
        <f>IF(D11="","-",+C23+1)</f>
        <v>2024</v>
      </c>
      <c r="D24" s="509">
        <f>IF(F23+SUM(E$17:E23)=D$10,F23,D$10-SUM(E$17:E23))</f>
        <v>9100746.6951418482</v>
      </c>
      <c r="E24" s="510">
        <f t="shared" si="4"/>
        <v>325193.0882352941</v>
      </c>
      <c r="F24" s="511">
        <f t="shared" si="5"/>
        <v>8775553.6069065537</v>
      </c>
      <c r="G24" s="512">
        <f t="shared" si="6"/>
        <v>1276365.5424886413</v>
      </c>
      <c r="H24" s="478">
        <f t="shared" si="7"/>
        <v>1276365.5424886413</v>
      </c>
      <c r="I24" s="501">
        <f t="shared" si="3"/>
        <v>0</v>
      </c>
      <c r="J24" s="501"/>
      <c r="K24" s="513"/>
      <c r="L24" s="505">
        <f t="shared" si="8"/>
        <v>0</v>
      </c>
      <c r="M24" s="513"/>
      <c r="N24" s="505">
        <f t="shared" si="1"/>
        <v>0</v>
      </c>
      <c r="O24" s="505">
        <f t="shared" si="2"/>
        <v>0</v>
      </c>
      <c r="P24" s="279"/>
      <c r="R24" s="244"/>
      <c r="S24" s="244"/>
      <c r="T24" s="244"/>
      <c r="U24" s="244"/>
    </row>
    <row r="25" spans="2:21">
      <c r="B25" s="145" t="str">
        <f t="shared" si="0"/>
        <v/>
      </c>
      <c r="C25" s="496">
        <f>IF(D11="","-",+C24+1)</f>
        <v>2025</v>
      </c>
      <c r="D25" s="509">
        <f>IF(F24+SUM(E$17:E24)=D$10,F24,D$10-SUM(E$17:E24))</f>
        <v>8775553.6069065537</v>
      </c>
      <c r="E25" s="510">
        <f t="shared" si="4"/>
        <v>325193.0882352941</v>
      </c>
      <c r="F25" s="511">
        <f t="shared" si="5"/>
        <v>8450360.5186712593</v>
      </c>
      <c r="G25" s="512">
        <f t="shared" si="6"/>
        <v>1241759.421242452</v>
      </c>
      <c r="H25" s="478">
        <f t="shared" si="7"/>
        <v>1241759.421242452</v>
      </c>
      <c r="I25" s="501">
        <f t="shared" si="3"/>
        <v>0</v>
      </c>
      <c r="J25" s="501"/>
      <c r="K25" s="513"/>
      <c r="L25" s="505">
        <f t="shared" si="8"/>
        <v>0</v>
      </c>
      <c r="M25" s="513"/>
      <c r="N25" s="505">
        <f t="shared" si="1"/>
        <v>0</v>
      </c>
      <c r="O25" s="505">
        <f t="shared" si="2"/>
        <v>0</v>
      </c>
      <c r="P25" s="279"/>
      <c r="R25" s="244"/>
      <c r="S25" s="244"/>
      <c r="T25" s="244"/>
      <c r="U25" s="244"/>
    </row>
    <row r="26" spans="2:21">
      <c r="B26" s="145" t="str">
        <f t="shared" si="0"/>
        <v/>
      </c>
      <c r="C26" s="496">
        <f>IF(D11="","-",+C25+1)</f>
        <v>2026</v>
      </c>
      <c r="D26" s="509">
        <f>IF(F25+SUM(E$17:E25)=D$10,F25,D$10-SUM(E$17:E25))</f>
        <v>8450360.5186712593</v>
      </c>
      <c r="E26" s="510">
        <f t="shared" si="4"/>
        <v>325193.0882352941</v>
      </c>
      <c r="F26" s="511">
        <f t="shared" si="5"/>
        <v>8125167.4304359648</v>
      </c>
      <c r="G26" s="512">
        <f t="shared" si="6"/>
        <v>1207153.2999962624</v>
      </c>
      <c r="H26" s="478">
        <f t="shared" si="7"/>
        <v>1207153.2999962624</v>
      </c>
      <c r="I26" s="501">
        <f t="shared" si="3"/>
        <v>0</v>
      </c>
      <c r="J26" s="501"/>
      <c r="K26" s="513"/>
      <c r="L26" s="505">
        <f t="shared" si="8"/>
        <v>0</v>
      </c>
      <c r="M26" s="513"/>
      <c r="N26" s="505">
        <f t="shared" si="1"/>
        <v>0</v>
      </c>
      <c r="O26" s="505">
        <f t="shared" si="2"/>
        <v>0</v>
      </c>
      <c r="P26" s="279"/>
      <c r="R26" s="244"/>
      <c r="S26" s="244"/>
      <c r="T26" s="244"/>
      <c r="U26" s="244"/>
    </row>
    <row r="27" spans="2:21">
      <c r="B27" s="145" t="str">
        <f t="shared" si="0"/>
        <v/>
      </c>
      <c r="C27" s="496">
        <f>IF(D11="","-",+C26+1)</f>
        <v>2027</v>
      </c>
      <c r="D27" s="509">
        <f>IF(F26+SUM(E$17:E26)=D$10,F26,D$10-SUM(E$17:E26))</f>
        <v>8125167.4304359648</v>
      </c>
      <c r="E27" s="510">
        <f t="shared" si="4"/>
        <v>325193.0882352941</v>
      </c>
      <c r="F27" s="511">
        <f t="shared" si="5"/>
        <v>7799974.3422006704</v>
      </c>
      <c r="G27" s="512">
        <f t="shared" si="6"/>
        <v>1172547.1787500731</v>
      </c>
      <c r="H27" s="478">
        <f t="shared" si="7"/>
        <v>1172547.1787500731</v>
      </c>
      <c r="I27" s="501">
        <f t="shared" si="3"/>
        <v>0</v>
      </c>
      <c r="J27" s="501"/>
      <c r="K27" s="513"/>
      <c r="L27" s="505">
        <f t="shared" si="8"/>
        <v>0</v>
      </c>
      <c r="M27" s="513"/>
      <c r="N27" s="505">
        <f t="shared" si="1"/>
        <v>0</v>
      </c>
      <c r="O27" s="505">
        <f t="shared" si="2"/>
        <v>0</v>
      </c>
      <c r="P27" s="279"/>
      <c r="R27" s="244"/>
      <c r="S27" s="244"/>
      <c r="T27" s="244"/>
      <c r="U27" s="244"/>
    </row>
    <row r="28" spans="2:21">
      <c r="B28" s="145" t="str">
        <f t="shared" si="0"/>
        <v/>
      </c>
      <c r="C28" s="496">
        <f>IF(D11="","-",+C27+1)</f>
        <v>2028</v>
      </c>
      <c r="D28" s="509">
        <f>IF(F27+SUM(E$17:E27)=D$10,F27,D$10-SUM(E$17:E27))</f>
        <v>7799974.3422006704</v>
      </c>
      <c r="E28" s="510">
        <f t="shared" si="4"/>
        <v>325193.0882352941</v>
      </c>
      <c r="F28" s="511">
        <f t="shared" si="5"/>
        <v>7474781.2539653759</v>
      </c>
      <c r="G28" s="512">
        <f t="shared" si="6"/>
        <v>1137941.0575038835</v>
      </c>
      <c r="H28" s="478">
        <f t="shared" si="7"/>
        <v>1137941.0575038835</v>
      </c>
      <c r="I28" s="501">
        <f t="shared" si="3"/>
        <v>0</v>
      </c>
      <c r="J28" s="501"/>
      <c r="K28" s="513"/>
      <c r="L28" s="505">
        <f t="shared" si="8"/>
        <v>0</v>
      </c>
      <c r="M28" s="513"/>
      <c r="N28" s="505">
        <f t="shared" si="1"/>
        <v>0</v>
      </c>
      <c r="O28" s="505">
        <f t="shared" si="2"/>
        <v>0</v>
      </c>
      <c r="P28" s="279"/>
      <c r="R28" s="244"/>
      <c r="S28" s="244"/>
      <c r="T28" s="244"/>
      <c r="U28" s="244"/>
    </row>
    <row r="29" spans="2:21">
      <c r="B29" s="145" t="str">
        <f t="shared" si="0"/>
        <v/>
      </c>
      <c r="C29" s="496">
        <f>IF(D11="","-",+C28+1)</f>
        <v>2029</v>
      </c>
      <c r="D29" s="509">
        <f>IF(F28+SUM(E$17:E28)=D$10,F28,D$10-SUM(E$17:E28))</f>
        <v>7474781.2539653759</v>
      </c>
      <c r="E29" s="510">
        <f t="shared" si="4"/>
        <v>325193.0882352941</v>
      </c>
      <c r="F29" s="511">
        <f t="shared" si="5"/>
        <v>7149588.1657300815</v>
      </c>
      <c r="G29" s="512">
        <f t="shared" si="6"/>
        <v>1103334.9362576939</v>
      </c>
      <c r="H29" s="478">
        <f t="shared" si="7"/>
        <v>1103334.9362576939</v>
      </c>
      <c r="I29" s="501">
        <f t="shared" si="3"/>
        <v>0</v>
      </c>
      <c r="J29" s="501"/>
      <c r="K29" s="513"/>
      <c r="L29" s="505">
        <f t="shared" si="8"/>
        <v>0</v>
      </c>
      <c r="M29" s="513"/>
      <c r="N29" s="505">
        <f t="shared" si="1"/>
        <v>0</v>
      </c>
      <c r="O29" s="505">
        <f t="shared" si="2"/>
        <v>0</v>
      </c>
      <c r="P29" s="279"/>
      <c r="R29" s="244"/>
      <c r="S29" s="244"/>
      <c r="T29" s="244"/>
      <c r="U29" s="244"/>
    </row>
    <row r="30" spans="2:21">
      <c r="B30" s="145" t="str">
        <f t="shared" si="0"/>
        <v/>
      </c>
      <c r="C30" s="496">
        <f>IF(D11="","-",+C29+1)</f>
        <v>2030</v>
      </c>
      <c r="D30" s="509">
        <f>IF(F29+SUM(E$17:E29)=D$10,F29,D$10-SUM(E$17:E29))</f>
        <v>7149588.1657300815</v>
      </c>
      <c r="E30" s="510">
        <f t="shared" si="4"/>
        <v>325193.0882352941</v>
      </c>
      <c r="F30" s="511">
        <f t="shared" si="5"/>
        <v>6824395.0774947871</v>
      </c>
      <c r="G30" s="512">
        <f t="shared" si="6"/>
        <v>1068728.8150115046</v>
      </c>
      <c r="H30" s="478">
        <f t="shared" si="7"/>
        <v>1068728.8150115046</v>
      </c>
      <c r="I30" s="501">
        <f t="shared" si="3"/>
        <v>0</v>
      </c>
      <c r="J30" s="501"/>
      <c r="K30" s="513"/>
      <c r="L30" s="505">
        <f t="shared" si="8"/>
        <v>0</v>
      </c>
      <c r="M30" s="513"/>
      <c r="N30" s="505">
        <f t="shared" si="1"/>
        <v>0</v>
      </c>
      <c r="O30" s="505">
        <f t="shared" si="2"/>
        <v>0</v>
      </c>
      <c r="P30" s="279"/>
      <c r="R30" s="244"/>
      <c r="S30" s="244"/>
      <c r="T30" s="244"/>
      <c r="U30" s="244"/>
    </row>
    <row r="31" spans="2:21">
      <c r="B31" s="145" t="str">
        <f t="shared" si="0"/>
        <v/>
      </c>
      <c r="C31" s="496">
        <f>IF(D11="","-",+C30+1)</f>
        <v>2031</v>
      </c>
      <c r="D31" s="509">
        <f>IF(F30+SUM(E$17:E30)=D$10,F30,D$10-SUM(E$17:E30))</f>
        <v>6824395.0774947871</v>
      </c>
      <c r="E31" s="510">
        <f t="shared" si="4"/>
        <v>325193.0882352941</v>
      </c>
      <c r="F31" s="511">
        <f t="shared" si="5"/>
        <v>6499201.9892594926</v>
      </c>
      <c r="G31" s="512">
        <f t="shared" si="6"/>
        <v>1034122.693765315</v>
      </c>
      <c r="H31" s="478">
        <f t="shared" si="7"/>
        <v>1034122.693765315</v>
      </c>
      <c r="I31" s="501">
        <f t="shared" si="3"/>
        <v>0</v>
      </c>
      <c r="J31" s="501"/>
      <c r="K31" s="513"/>
      <c r="L31" s="505">
        <f t="shared" si="8"/>
        <v>0</v>
      </c>
      <c r="M31" s="513"/>
      <c r="N31" s="505">
        <f t="shared" si="1"/>
        <v>0</v>
      </c>
      <c r="O31" s="505">
        <f t="shared" si="2"/>
        <v>0</v>
      </c>
      <c r="P31" s="279"/>
      <c r="Q31" s="221"/>
      <c r="R31" s="279"/>
      <c r="S31" s="279"/>
      <c r="T31" s="279"/>
      <c r="U31" s="244"/>
    </row>
    <row r="32" spans="2:21">
      <c r="B32" s="145" t="str">
        <f t="shared" si="0"/>
        <v/>
      </c>
      <c r="C32" s="496">
        <f>IF(D12="","-",+C31+1)</f>
        <v>2032</v>
      </c>
      <c r="D32" s="509">
        <f>IF(F31+SUM(E$17:E31)=D$10,F31,D$10-SUM(E$17:E31))</f>
        <v>6499201.9892594926</v>
      </c>
      <c r="E32" s="510">
        <f t="shared" si="4"/>
        <v>325193.0882352941</v>
      </c>
      <c r="F32" s="511">
        <f>+D32-E32</f>
        <v>6174008.9010241982</v>
      </c>
      <c r="G32" s="512">
        <f t="shared" si="6"/>
        <v>999516.57251912553</v>
      </c>
      <c r="H32" s="478">
        <f t="shared" si="7"/>
        <v>999516.57251912553</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2033</v>
      </c>
      <c r="D33" s="509">
        <f>IF(F32+SUM(E$17:E32)=D$10,F32,D$10-SUM(E$17:E32))</f>
        <v>6174008.9010241982</v>
      </c>
      <c r="E33" s="510">
        <f t="shared" si="4"/>
        <v>325193.0882352941</v>
      </c>
      <c r="F33" s="511">
        <f>+D33-E33</f>
        <v>5848815.8127889037</v>
      </c>
      <c r="G33" s="512">
        <f t="shared" si="6"/>
        <v>964910.45127293607</v>
      </c>
      <c r="H33" s="478">
        <f t="shared" si="7"/>
        <v>964910.45127293607</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2034</v>
      </c>
      <c r="D34" s="515">
        <f>IF(F33+SUM(E$17:E33)=D$10,F33,D$10-SUM(E$17:E33))</f>
        <v>5848815.8127889037</v>
      </c>
      <c r="E34" s="516">
        <f t="shared" si="4"/>
        <v>325193.0882352941</v>
      </c>
      <c r="F34" s="517">
        <f t="shared" si="5"/>
        <v>5523622.7245536093</v>
      </c>
      <c r="G34" s="512">
        <f t="shared" si="6"/>
        <v>930304.33002674661</v>
      </c>
      <c r="H34" s="478">
        <f t="shared" si="7"/>
        <v>930304.33002674661</v>
      </c>
      <c r="I34" s="520">
        <f t="shared" si="3"/>
        <v>0</v>
      </c>
      <c r="J34" s="520"/>
      <c r="K34" s="521"/>
      <c r="L34" s="522">
        <f t="shared" si="8"/>
        <v>0</v>
      </c>
      <c r="M34" s="521"/>
      <c r="N34" s="522">
        <f t="shared" si="1"/>
        <v>0</v>
      </c>
      <c r="O34" s="522">
        <f t="shared" si="2"/>
        <v>0</v>
      </c>
      <c r="P34" s="523"/>
      <c r="Q34" s="217"/>
      <c r="R34" s="523"/>
      <c r="S34" s="523"/>
      <c r="T34" s="523"/>
      <c r="U34" s="244"/>
    </row>
    <row r="35" spans="2:21">
      <c r="B35" s="145" t="str">
        <f t="shared" si="0"/>
        <v/>
      </c>
      <c r="C35" s="496">
        <f>IF(D11="","-",+C34+1)</f>
        <v>2035</v>
      </c>
      <c r="D35" s="509">
        <f>IF(F34+SUM(E$17:E34)=D$10,F34,D$10-SUM(E$17:E34))</f>
        <v>5523622.7245536093</v>
      </c>
      <c r="E35" s="510">
        <f t="shared" si="4"/>
        <v>325193.0882352941</v>
      </c>
      <c r="F35" s="511">
        <f t="shared" si="5"/>
        <v>5198429.6363183148</v>
      </c>
      <c r="G35" s="512">
        <f t="shared" si="6"/>
        <v>895698.20878055715</v>
      </c>
      <c r="H35" s="478">
        <f t="shared" si="7"/>
        <v>895698.20878055715</v>
      </c>
      <c r="I35" s="501">
        <f t="shared" si="3"/>
        <v>0</v>
      </c>
      <c r="J35" s="501"/>
      <c r="K35" s="513"/>
      <c r="L35" s="505">
        <f t="shared" si="8"/>
        <v>0</v>
      </c>
      <c r="M35" s="513"/>
      <c r="N35" s="505">
        <f t="shared" si="1"/>
        <v>0</v>
      </c>
      <c r="O35" s="505">
        <f t="shared" si="2"/>
        <v>0</v>
      </c>
      <c r="P35" s="279"/>
      <c r="R35" s="244"/>
      <c r="S35" s="244"/>
      <c r="T35" s="244"/>
      <c r="U35" s="244"/>
    </row>
    <row r="36" spans="2:21">
      <c r="B36" s="145" t="str">
        <f t="shared" si="0"/>
        <v/>
      </c>
      <c r="C36" s="496">
        <f>IF(D11="","-",+C35+1)</f>
        <v>2036</v>
      </c>
      <c r="D36" s="509">
        <f>IF(F35+SUM(E$17:E35)=D$10,F35,D$10-SUM(E$17:E35))</f>
        <v>5198429.6363183148</v>
      </c>
      <c r="E36" s="510">
        <f t="shared" si="4"/>
        <v>325193.0882352941</v>
      </c>
      <c r="F36" s="511">
        <f t="shared" si="5"/>
        <v>4873236.5480830204</v>
      </c>
      <c r="G36" s="512">
        <f t="shared" si="6"/>
        <v>861092.08753436757</v>
      </c>
      <c r="H36" s="478">
        <f t="shared" si="7"/>
        <v>861092.08753436757</v>
      </c>
      <c r="I36" s="501">
        <f t="shared" si="3"/>
        <v>0</v>
      </c>
      <c r="J36" s="501"/>
      <c r="K36" s="513"/>
      <c r="L36" s="505">
        <f t="shared" si="8"/>
        <v>0</v>
      </c>
      <c r="M36" s="513"/>
      <c r="N36" s="505">
        <f t="shared" si="1"/>
        <v>0</v>
      </c>
      <c r="O36" s="505">
        <f t="shared" si="2"/>
        <v>0</v>
      </c>
      <c r="P36" s="279"/>
      <c r="R36" s="244"/>
      <c r="S36" s="244"/>
      <c r="T36" s="244"/>
      <c r="U36" s="244"/>
    </row>
    <row r="37" spans="2:21">
      <c r="B37" s="145" t="str">
        <f t="shared" si="0"/>
        <v/>
      </c>
      <c r="C37" s="496">
        <f>IF(D11="","-",+C36+1)</f>
        <v>2037</v>
      </c>
      <c r="D37" s="509">
        <f>IF(F36+SUM(E$17:E36)=D$10,F36,D$10-SUM(E$17:E36))</f>
        <v>4873236.5480830204</v>
      </c>
      <c r="E37" s="510">
        <f t="shared" si="4"/>
        <v>325193.0882352941</v>
      </c>
      <c r="F37" s="511">
        <f t="shared" si="5"/>
        <v>4548043.4598477259</v>
      </c>
      <c r="G37" s="512">
        <f t="shared" si="6"/>
        <v>826485.96628817811</v>
      </c>
      <c r="H37" s="478">
        <f t="shared" si="7"/>
        <v>826485.96628817811</v>
      </c>
      <c r="I37" s="501">
        <f t="shared" si="3"/>
        <v>0</v>
      </c>
      <c r="J37" s="501"/>
      <c r="K37" s="513"/>
      <c r="L37" s="505">
        <f t="shared" si="8"/>
        <v>0</v>
      </c>
      <c r="M37" s="513"/>
      <c r="N37" s="505">
        <f t="shared" si="1"/>
        <v>0</v>
      </c>
      <c r="O37" s="505">
        <f t="shared" si="2"/>
        <v>0</v>
      </c>
      <c r="P37" s="279"/>
      <c r="R37" s="244"/>
      <c r="S37" s="244"/>
      <c r="T37" s="244"/>
      <c r="U37" s="244"/>
    </row>
    <row r="38" spans="2:21">
      <c r="B38" s="145" t="str">
        <f t="shared" si="0"/>
        <v/>
      </c>
      <c r="C38" s="496">
        <f>IF(D11="","-",+C37+1)</f>
        <v>2038</v>
      </c>
      <c r="D38" s="509">
        <f>IF(F37+SUM(E$17:E37)=D$10,F37,D$10-SUM(E$17:E37))</f>
        <v>4548043.4598477259</v>
      </c>
      <c r="E38" s="510">
        <f t="shared" si="4"/>
        <v>325193.0882352941</v>
      </c>
      <c r="F38" s="511">
        <f t="shared" si="5"/>
        <v>4222850.3716124315</v>
      </c>
      <c r="G38" s="512">
        <f t="shared" si="6"/>
        <v>791879.84504198865</v>
      </c>
      <c r="H38" s="478">
        <f t="shared" si="7"/>
        <v>791879.84504198865</v>
      </c>
      <c r="I38" s="501">
        <f t="shared" si="3"/>
        <v>0</v>
      </c>
      <c r="J38" s="501"/>
      <c r="K38" s="513"/>
      <c r="L38" s="505">
        <f t="shared" si="8"/>
        <v>0</v>
      </c>
      <c r="M38" s="513"/>
      <c r="N38" s="505">
        <f t="shared" si="1"/>
        <v>0</v>
      </c>
      <c r="O38" s="505">
        <f t="shared" si="2"/>
        <v>0</v>
      </c>
      <c r="P38" s="279"/>
      <c r="R38" s="244"/>
      <c r="S38" s="244"/>
      <c r="T38" s="244"/>
      <c r="U38" s="244"/>
    </row>
    <row r="39" spans="2:21">
      <c r="B39" s="145" t="str">
        <f t="shared" si="0"/>
        <v/>
      </c>
      <c r="C39" s="496">
        <f>IF(D11="","-",+C38+1)</f>
        <v>2039</v>
      </c>
      <c r="D39" s="509">
        <f>IF(F38+SUM(E$17:E38)=D$10,F38,D$10-SUM(E$17:E38))</f>
        <v>4222850.3716124315</v>
      </c>
      <c r="E39" s="510">
        <f t="shared" si="4"/>
        <v>325193.0882352941</v>
      </c>
      <c r="F39" s="511">
        <f t="shared" si="5"/>
        <v>3897657.2833771375</v>
      </c>
      <c r="G39" s="512">
        <f t="shared" si="6"/>
        <v>757273.72379579919</v>
      </c>
      <c r="H39" s="478">
        <f t="shared" si="7"/>
        <v>757273.72379579919</v>
      </c>
      <c r="I39" s="501">
        <f t="shared" si="3"/>
        <v>0</v>
      </c>
      <c r="J39" s="501"/>
      <c r="K39" s="513"/>
      <c r="L39" s="505">
        <f t="shared" si="8"/>
        <v>0</v>
      </c>
      <c r="M39" s="513"/>
      <c r="N39" s="505">
        <f t="shared" si="1"/>
        <v>0</v>
      </c>
      <c r="O39" s="505">
        <f t="shared" si="2"/>
        <v>0</v>
      </c>
      <c r="P39" s="279"/>
      <c r="R39" s="244"/>
      <c r="S39" s="244"/>
      <c r="T39" s="244"/>
      <c r="U39" s="244"/>
    </row>
    <row r="40" spans="2:21">
      <c r="B40" s="145" t="str">
        <f t="shared" si="0"/>
        <v/>
      </c>
      <c r="C40" s="496">
        <f>IF(D11="","-",+C39+1)</f>
        <v>2040</v>
      </c>
      <c r="D40" s="509">
        <f>IF(F39+SUM(E$17:E39)=D$10,F39,D$10-SUM(E$17:E39))</f>
        <v>3897657.2833771375</v>
      </c>
      <c r="E40" s="510">
        <f t="shared" si="4"/>
        <v>325193.0882352941</v>
      </c>
      <c r="F40" s="511">
        <f t="shared" si="5"/>
        <v>3572464.1951418435</v>
      </c>
      <c r="G40" s="512">
        <f t="shared" si="6"/>
        <v>722667.60254960973</v>
      </c>
      <c r="H40" s="478">
        <f t="shared" si="7"/>
        <v>722667.60254960973</v>
      </c>
      <c r="I40" s="501">
        <f t="shared" si="3"/>
        <v>0</v>
      </c>
      <c r="J40" s="501"/>
      <c r="K40" s="513"/>
      <c r="L40" s="505">
        <f t="shared" si="8"/>
        <v>0</v>
      </c>
      <c r="M40" s="513"/>
      <c r="N40" s="505">
        <f t="shared" si="1"/>
        <v>0</v>
      </c>
      <c r="O40" s="505">
        <f t="shared" si="2"/>
        <v>0</v>
      </c>
      <c r="P40" s="279"/>
      <c r="R40" s="244"/>
      <c r="S40" s="244"/>
      <c r="T40" s="244"/>
      <c r="U40" s="244"/>
    </row>
    <row r="41" spans="2:21">
      <c r="B41" s="145" t="str">
        <f t="shared" si="0"/>
        <v/>
      </c>
      <c r="C41" s="496">
        <f>IF(D12="","-",+C40+1)</f>
        <v>2041</v>
      </c>
      <c r="D41" s="509">
        <f>IF(F40+SUM(E$17:E40)=D$10,F40,D$10-SUM(E$17:E40))</f>
        <v>3572464.1951418435</v>
      </c>
      <c r="E41" s="510">
        <f t="shared" ref="E41:E73" si="9">IF(+I$14&lt;F40,I$14,D41)</f>
        <v>325193.0882352941</v>
      </c>
      <c r="F41" s="511">
        <f>+D41-E41</f>
        <v>3247271.1069065495</v>
      </c>
      <c r="G41" s="512">
        <f t="shared" si="6"/>
        <v>688061.48130342027</v>
      </c>
      <c r="H41" s="478">
        <f t="shared" si="7"/>
        <v>688061.48130342027</v>
      </c>
      <c r="I41" s="501">
        <f>H41-G41</f>
        <v>0</v>
      </c>
      <c r="J41" s="501"/>
      <c r="K41" s="513"/>
      <c r="L41" s="505">
        <f>IF(K41&lt;&gt;0,+G41-K41,0)</f>
        <v>0</v>
      </c>
      <c r="M41" s="513"/>
      <c r="N41" s="505">
        <f>IF(M41&lt;&gt;0,+H41-M41,0)</f>
        <v>0</v>
      </c>
      <c r="O41" s="505">
        <f>+N41-L41</f>
        <v>0</v>
      </c>
      <c r="P41" s="279"/>
      <c r="R41" s="244"/>
      <c r="S41" s="244"/>
      <c r="T41" s="244"/>
      <c r="U41" s="244"/>
    </row>
    <row r="42" spans="2:21">
      <c r="B42" s="145" t="str">
        <f t="shared" si="0"/>
        <v/>
      </c>
      <c r="C42" s="496">
        <f>IF(D13="","-",+C41+1)</f>
        <v>2042</v>
      </c>
      <c r="D42" s="509">
        <f>IF(F41+SUM(E$17:E41)=D$10,F41,D$10-SUM(E$17:E41))</f>
        <v>3247271.1069065495</v>
      </c>
      <c r="E42" s="510">
        <f t="shared" si="9"/>
        <v>325193.0882352941</v>
      </c>
      <c r="F42" s="511">
        <f>+D42-E42</f>
        <v>2922078.0186712556</v>
      </c>
      <c r="G42" s="512">
        <f t="shared" si="6"/>
        <v>653455.36005723092</v>
      </c>
      <c r="H42" s="478">
        <f t="shared" si="7"/>
        <v>653455.36005723092</v>
      </c>
      <c r="I42" s="501">
        <f>H42-G42</f>
        <v>0</v>
      </c>
      <c r="J42" s="501"/>
      <c r="K42" s="513"/>
      <c r="L42" s="505">
        <f>IF(K42&lt;&gt;0,+G42-K42,0)</f>
        <v>0</v>
      </c>
      <c r="M42" s="513"/>
      <c r="N42" s="505">
        <f>IF(M42&lt;&gt;0,+H42-M42,0)</f>
        <v>0</v>
      </c>
      <c r="O42" s="505">
        <f>+N42-L42</f>
        <v>0</v>
      </c>
      <c r="P42" s="279"/>
      <c r="R42" s="244"/>
      <c r="S42" s="244"/>
      <c r="T42" s="244"/>
      <c r="U42" s="244"/>
    </row>
    <row r="43" spans="2:21">
      <c r="B43" s="145" t="str">
        <f t="shared" si="0"/>
        <v/>
      </c>
      <c r="C43" s="496">
        <f>IF(D14="","-",+C42+1)</f>
        <v>2043</v>
      </c>
      <c r="D43" s="509">
        <f>IF(F42+SUM(E$17:E42)=D$10,F42,D$10-SUM(E$17:E42))</f>
        <v>2922078.0186712556</v>
      </c>
      <c r="E43" s="510">
        <f t="shared" si="9"/>
        <v>325193.0882352941</v>
      </c>
      <c r="F43" s="511">
        <f>+D43-E43</f>
        <v>2596884.9304359616</v>
      </c>
      <c r="G43" s="512">
        <f t="shared" si="6"/>
        <v>618849.23881104146</v>
      </c>
      <c r="H43" s="478">
        <f t="shared" si="7"/>
        <v>618849.23881104146</v>
      </c>
      <c r="I43" s="501">
        <f>H43-G43</f>
        <v>0</v>
      </c>
      <c r="J43" s="501"/>
      <c r="K43" s="513"/>
      <c r="L43" s="505">
        <f>IF(K43&lt;&gt;0,+G43-K43,0)</f>
        <v>0</v>
      </c>
      <c r="M43" s="513"/>
      <c r="N43" s="505">
        <f>IF(M43&lt;&gt;0,+H43-M43,0)</f>
        <v>0</v>
      </c>
      <c r="O43" s="505">
        <f>+N43-L43</f>
        <v>0</v>
      </c>
      <c r="P43" s="279"/>
      <c r="R43" s="244"/>
      <c r="S43" s="244"/>
      <c r="T43" s="244"/>
      <c r="U43" s="244"/>
    </row>
    <row r="44" spans="2:21">
      <c r="B44" s="145" t="str">
        <f t="shared" si="0"/>
        <v/>
      </c>
      <c r="C44" s="496">
        <f>IF(D11="","-",+C43+1)</f>
        <v>2044</v>
      </c>
      <c r="D44" s="509">
        <f>IF(F43+SUM(E$17:E43)=D$10,F43,D$10-SUM(E$17:E43))</f>
        <v>2596884.9304359616</v>
      </c>
      <c r="E44" s="510">
        <f t="shared" si="9"/>
        <v>325193.0882352941</v>
      </c>
      <c r="F44" s="511">
        <f t="shared" si="5"/>
        <v>2271691.8422006676</v>
      </c>
      <c r="G44" s="512">
        <f t="shared" si="6"/>
        <v>584243.117564852</v>
      </c>
      <c r="H44" s="478">
        <f t="shared" si="7"/>
        <v>584243.117564852</v>
      </c>
      <c r="I44" s="501">
        <f t="shared" si="3"/>
        <v>0</v>
      </c>
      <c r="J44" s="501"/>
      <c r="K44" s="513"/>
      <c r="L44" s="505">
        <f t="shared" si="8"/>
        <v>0</v>
      </c>
      <c r="M44" s="513"/>
      <c r="N44" s="505">
        <f t="shared" si="1"/>
        <v>0</v>
      </c>
      <c r="O44" s="505">
        <f t="shared" si="2"/>
        <v>0</v>
      </c>
      <c r="P44" s="279"/>
      <c r="R44" s="244"/>
      <c r="S44" s="244"/>
      <c r="T44" s="244"/>
      <c r="U44" s="244"/>
    </row>
    <row r="45" spans="2:21">
      <c r="B45" s="145" t="str">
        <f t="shared" si="0"/>
        <v/>
      </c>
      <c r="C45" s="496">
        <f>IF(D11="","-",+C44+1)</f>
        <v>2045</v>
      </c>
      <c r="D45" s="509">
        <f>IF(F44+SUM(E$17:E44)=D$10,F44,D$10-SUM(E$17:E44))</f>
        <v>2271691.8422006676</v>
      </c>
      <c r="E45" s="510">
        <f t="shared" si="9"/>
        <v>325193.0882352941</v>
      </c>
      <c r="F45" s="511">
        <f t="shared" si="5"/>
        <v>1946498.7539653736</v>
      </c>
      <c r="G45" s="512">
        <f t="shared" si="6"/>
        <v>549636.99631866254</v>
      </c>
      <c r="H45" s="478">
        <f t="shared" si="7"/>
        <v>549636.99631866254</v>
      </c>
      <c r="I45" s="501">
        <f t="shared" si="3"/>
        <v>0</v>
      </c>
      <c r="J45" s="501"/>
      <c r="K45" s="513"/>
      <c r="L45" s="505">
        <f t="shared" si="8"/>
        <v>0</v>
      </c>
      <c r="M45" s="513"/>
      <c r="N45" s="505">
        <f t="shared" si="1"/>
        <v>0</v>
      </c>
      <c r="O45" s="505">
        <f t="shared" si="2"/>
        <v>0</v>
      </c>
      <c r="P45" s="279"/>
      <c r="R45" s="244"/>
      <c r="S45" s="244"/>
      <c r="T45" s="244"/>
      <c r="U45" s="244"/>
    </row>
    <row r="46" spans="2:21">
      <c r="B46" s="145" t="str">
        <f t="shared" si="0"/>
        <v/>
      </c>
      <c r="C46" s="496">
        <f>IF(D11="","-",+C45+1)</f>
        <v>2046</v>
      </c>
      <c r="D46" s="509">
        <f>IF(F45+SUM(E$17:E45)=D$10,F45,D$10-SUM(E$17:E45))</f>
        <v>1946498.7539653736</v>
      </c>
      <c r="E46" s="510">
        <f t="shared" si="9"/>
        <v>325193.0882352941</v>
      </c>
      <c r="F46" s="511">
        <f t="shared" si="5"/>
        <v>1621305.6657300796</v>
      </c>
      <c r="G46" s="512">
        <f t="shared" si="6"/>
        <v>515030.87507247314</v>
      </c>
      <c r="H46" s="478">
        <f t="shared" si="7"/>
        <v>515030.87507247314</v>
      </c>
      <c r="I46" s="501">
        <f t="shared" si="3"/>
        <v>0</v>
      </c>
      <c r="J46" s="501"/>
      <c r="K46" s="513"/>
      <c r="L46" s="505">
        <f t="shared" si="8"/>
        <v>0</v>
      </c>
      <c r="M46" s="513"/>
      <c r="N46" s="505">
        <f t="shared" si="1"/>
        <v>0</v>
      </c>
      <c r="O46" s="505">
        <f t="shared" si="2"/>
        <v>0</v>
      </c>
      <c r="P46" s="279"/>
      <c r="R46" s="244"/>
      <c r="S46" s="244"/>
      <c r="T46" s="244"/>
      <c r="U46" s="244"/>
    </row>
    <row r="47" spans="2:21">
      <c r="B47" s="145" t="str">
        <f t="shared" si="0"/>
        <v/>
      </c>
      <c r="C47" s="496">
        <f>IF(D11="","-",+C46+1)</f>
        <v>2047</v>
      </c>
      <c r="D47" s="509">
        <f>IF(F46+SUM(E$17:E46)=D$10,F46,D$10-SUM(E$17:E46))</f>
        <v>1621305.6657300796</v>
      </c>
      <c r="E47" s="510">
        <f t="shared" si="9"/>
        <v>325193.0882352941</v>
      </c>
      <c r="F47" s="511">
        <f t="shared" si="5"/>
        <v>1296112.5774947857</v>
      </c>
      <c r="G47" s="512">
        <f t="shared" si="6"/>
        <v>480424.75382628373</v>
      </c>
      <c r="H47" s="478">
        <f t="shared" si="7"/>
        <v>480424.75382628373</v>
      </c>
      <c r="I47" s="501">
        <f t="shared" si="3"/>
        <v>0</v>
      </c>
      <c r="J47" s="501"/>
      <c r="K47" s="513"/>
      <c r="L47" s="505">
        <f t="shared" si="8"/>
        <v>0</v>
      </c>
      <c r="M47" s="513"/>
      <c r="N47" s="505">
        <f t="shared" si="1"/>
        <v>0</v>
      </c>
      <c r="O47" s="505">
        <f t="shared" si="2"/>
        <v>0</v>
      </c>
      <c r="P47" s="279"/>
      <c r="R47" s="244"/>
      <c r="S47" s="244"/>
      <c r="T47" s="244"/>
      <c r="U47" s="244"/>
    </row>
    <row r="48" spans="2:21">
      <c r="B48" s="145" t="str">
        <f t="shared" si="0"/>
        <v/>
      </c>
      <c r="C48" s="496">
        <f>IF(D11="","-",+C47+1)</f>
        <v>2048</v>
      </c>
      <c r="D48" s="509">
        <f>IF(F47+SUM(E$17:E47)=D$10,F47,D$10-SUM(E$17:E47))</f>
        <v>1296112.5774947857</v>
      </c>
      <c r="E48" s="510">
        <f t="shared" si="9"/>
        <v>325193.0882352941</v>
      </c>
      <c r="F48" s="511">
        <f t="shared" si="5"/>
        <v>970919.48925949156</v>
      </c>
      <c r="G48" s="512">
        <f t="shared" si="6"/>
        <v>445818.63258009427</v>
      </c>
      <c r="H48" s="478">
        <f t="shared" si="7"/>
        <v>445818.63258009427</v>
      </c>
      <c r="I48" s="501">
        <f t="shared" si="3"/>
        <v>0</v>
      </c>
      <c r="J48" s="501"/>
      <c r="K48" s="513"/>
      <c r="L48" s="505">
        <f t="shared" si="8"/>
        <v>0</v>
      </c>
      <c r="M48" s="513"/>
      <c r="N48" s="505">
        <f t="shared" si="1"/>
        <v>0</v>
      </c>
      <c r="O48" s="505">
        <f t="shared" si="2"/>
        <v>0</v>
      </c>
      <c r="P48" s="279"/>
      <c r="R48" s="244"/>
      <c r="S48" s="244"/>
      <c r="T48" s="244"/>
      <c r="U48" s="244"/>
    </row>
    <row r="49" spans="2:21">
      <c r="B49" s="145" t="str">
        <f t="shared" si="0"/>
        <v/>
      </c>
      <c r="C49" s="496">
        <f>IF(D11="","-",+C48+1)</f>
        <v>2049</v>
      </c>
      <c r="D49" s="509">
        <f>IF(F48+SUM(E$17:E48)=D$10,F48,D$10-SUM(E$17:E48))</f>
        <v>970919.48925949156</v>
      </c>
      <c r="E49" s="510">
        <f t="shared" si="9"/>
        <v>325193.0882352941</v>
      </c>
      <c r="F49" s="511">
        <f t="shared" si="5"/>
        <v>645726.40102419746</v>
      </c>
      <c r="G49" s="512">
        <f t="shared" si="6"/>
        <v>411212.51133390481</v>
      </c>
      <c r="H49" s="478">
        <f t="shared" si="7"/>
        <v>411212.51133390481</v>
      </c>
      <c r="I49" s="501">
        <f t="shared" si="3"/>
        <v>0</v>
      </c>
      <c r="J49" s="501"/>
      <c r="K49" s="513"/>
      <c r="L49" s="505">
        <f t="shared" si="8"/>
        <v>0</v>
      </c>
      <c r="M49" s="513"/>
      <c r="N49" s="505">
        <f t="shared" si="1"/>
        <v>0</v>
      </c>
      <c r="O49" s="505">
        <f t="shared" si="2"/>
        <v>0</v>
      </c>
      <c r="P49" s="279"/>
      <c r="R49" s="244"/>
      <c r="S49" s="244"/>
      <c r="T49" s="244"/>
      <c r="U49" s="244"/>
    </row>
    <row r="50" spans="2:21">
      <c r="B50" s="145" t="str">
        <f t="shared" si="0"/>
        <v/>
      </c>
      <c r="C50" s="496">
        <f>IF(D11="","-",+C49+1)</f>
        <v>2050</v>
      </c>
      <c r="D50" s="509">
        <f>IF(F49+SUM(E$17:E49)=D$10,F49,D$10-SUM(E$17:E49))</f>
        <v>645726.40102419746</v>
      </c>
      <c r="E50" s="510">
        <f t="shared" si="9"/>
        <v>325193.0882352941</v>
      </c>
      <c r="F50" s="511">
        <f t="shared" si="5"/>
        <v>320533.31278890336</v>
      </c>
      <c r="G50" s="512">
        <f t="shared" si="6"/>
        <v>376606.39008771535</v>
      </c>
      <c r="H50" s="478">
        <f t="shared" si="7"/>
        <v>376606.39008771535</v>
      </c>
      <c r="I50" s="501">
        <f t="shared" si="3"/>
        <v>0</v>
      </c>
      <c r="J50" s="501"/>
      <c r="K50" s="513"/>
      <c r="L50" s="505">
        <f t="shared" si="8"/>
        <v>0</v>
      </c>
      <c r="M50" s="513"/>
      <c r="N50" s="505">
        <f t="shared" si="1"/>
        <v>0</v>
      </c>
      <c r="O50" s="505">
        <f t="shared" si="2"/>
        <v>0</v>
      </c>
      <c r="P50" s="279"/>
      <c r="R50" s="244"/>
      <c r="S50" s="244"/>
      <c r="T50" s="244"/>
      <c r="U50" s="244"/>
    </row>
    <row r="51" spans="2:21">
      <c r="B51" s="145" t="str">
        <f t="shared" si="0"/>
        <v/>
      </c>
      <c r="C51" s="496">
        <f>IF(D11="","-",+C50+1)</f>
        <v>2051</v>
      </c>
      <c r="D51" s="509">
        <f>IF(F50+SUM(E$17:E50)=D$10,F50,D$10-SUM(E$17:E50))</f>
        <v>320533.31278890336</v>
      </c>
      <c r="E51" s="510">
        <f t="shared" si="9"/>
        <v>320533.31278890336</v>
      </c>
      <c r="F51" s="511">
        <f t="shared" si="5"/>
        <v>0</v>
      </c>
      <c r="G51" s="512">
        <f t="shared" si="6"/>
        <v>337588.43340356665</v>
      </c>
      <c r="H51" s="478">
        <f t="shared" si="7"/>
        <v>337588.43340356665</v>
      </c>
      <c r="I51" s="501">
        <f t="shared" si="3"/>
        <v>0</v>
      </c>
      <c r="J51" s="501"/>
      <c r="K51" s="513"/>
      <c r="L51" s="505">
        <f t="shared" si="8"/>
        <v>0</v>
      </c>
      <c r="M51" s="513"/>
      <c r="N51" s="505">
        <f t="shared" si="1"/>
        <v>0</v>
      </c>
      <c r="O51" s="505">
        <f t="shared" si="2"/>
        <v>0</v>
      </c>
      <c r="P51" s="279"/>
      <c r="R51" s="244"/>
      <c r="S51" s="244"/>
      <c r="T51" s="244"/>
      <c r="U51" s="244"/>
    </row>
    <row r="52" spans="2:21">
      <c r="B52" s="145" t="str">
        <f t="shared" si="0"/>
        <v/>
      </c>
      <c r="C52" s="496">
        <f>IF(D11="","-",+C51+1)</f>
        <v>2052</v>
      </c>
      <c r="D52" s="509">
        <f>IF(F51+SUM(E$17:E51)=D$10,F51,D$10-SUM(E$17:E51))</f>
        <v>0</v>
      </c>
      <c r="E52" s="510">
        <f t="shared" si="9"/>
        <v>0</v>
      </c>
      <c r="F52" s="511">
        <f t="shared" si="5"/>
        <v>0</v>
      </c>
      <c r="G52" s="512">
        <f t="shared" si="6"/>
        <v>0</v>
      </c>
      <c r="H52" s="478">
        <f t="shared" si="7"/>
        <v>0</v>
      </c>
      <c r="I52" s="501">
        <f t="shared" si="3"/>
        <v>0</v>
      </c>
      <c r="J52" s="501"/>
      <c r="K52" s="513"/>
      <c r="L52" s="505">
        <f t="shared" si="8"/>
        <v>0</v>
      </c>
      <c r="M52" s="513"/>
      <c r="N52" s="505">
        <f t="shared" si="1"/>
        <v>0</v>
      </c>
      <c r="O52" s="505">
        <f t="shared" si="2"/>
        <v>0</v>
      </c>
      <c r="P52" s="279"/>
      <c r="R52" s="244"/>
      <c r="S52" s="244"/>
      <c r="T52" s="244"/>
      <c r="U52" s="244"/>
    </row>
    <row r="53" spans="2:21">
      <c r="B53" s="145" t="str">
        <f t="shared" si="0"/>
        <v/>
      </c>
      <c r="C53" s="496">
        <f>IF(D11="","-",+C52+1)</f>
        <v>2053</v>
      </c>
      <c r="D53" s="509">
        <f>IF(F52+SUM(E$17:E52)=D$10,F52,D$10-SUM(E$17:E52))</f>
        <v>0</v>
      </c>
      <c r="E53" s="510">
        <f t="shared" si="9"/>
        <v>0</v>
      </c>
      <c r="F53" s="511">
        <f t="shared" si="5"/>
        <v>0</v>
      </c>
      <c r="G53" s="512">
        <f t="shared" si="6"/>
        <v>0</v>
      </c>
      <c r="H53" s="478">
        <f t="shared" si="7"/>
        <v>0</v>
      </c>
      <c r="I53" s="501">
        <f t="shared" si="3"/>
        <v>0</v>
      </c>
      <c r="J53" s="501"/>
      <c r="K53" s="513"/>
      <c r="L53" s="505">
        <f t="shared" si="8"/>
        <v>0</v>
      </c>
      <c r="M53" s="513"/>
      <c r="N53" s="505">
        <f t="shared" si="1"/>
        <v>0</v>
      </c>
      <c r="O53" s="505">
        <f t="shared" si="2"/>
        <v>0</v>
      </c>
      <c r="P53" s="279"/>
      <c r="R53" s="244"/>
      <c r="S53" s="244"/>
      <c r="T53" s="244"/>
      <c r="U53" s="244"/>
    </row>
    <row r="54" spans="2:21">
      <c r="B54" s="145" t="str">
        <f t="shared" si="0"/>
        <v/>
      </c>
      <c r="C54" s="496">
        <f>IF(D11="","-",+C53+1)</f>
        <v>2054</v>
      </c>
      <c r="D54" s="509">
        <f>IF(F53+SUM(E$17:E53)=D$10,F53,D$10-SUM(E$17:E53))</f>
        <v>0</v>
      </c>
      <c r="E54" s="510">
        <f t="shared" si="9"/>
        <v>0</v>
      </c>
      <c r="F54" s="511">
        <f t="shared" si="5"/>
        <v>0</v>
      </c>
      <c r="G54" s="512">
        <f t="shared" si="6"/>
        <v>0</v>
      </c>
      <c r="H54" s="478">
        <f t="shared" si="7"/>
        <v>0</v>
      </c>
      <c r="I54" s="501">
        <f t="shared" si="3"/>
        <v>0</v>
      </c>
      <c r="J54" s="501"/>
      <c r="K54" s="513"/>
      <c r="L54" s="505">
        <f t="shared" si="8"/>
        <v>0</v>
      </c>
      <c r="M54" s="513"/>
      <c r="N54" s="505">
        <f t="shared" si="1"/>
        <v>0</v>
      </c>
      <c r="O54" s="505">
        <f t="shared" si="2"/>
        <v>0</v>
      </c>
      <c r="P54" s="279"/>
      <c r="R54" s="244"/>
      <c r="S54" s="244"/>
      <c r="T54" s="244"/>
      <c r="U54" s="244"/>
    </row>
    <row r="55" spans="2:21">
      <c r="B55" s="145" t="str">
        <f t="shared" si="0"/>
        <v/>
      </c>
      <c r="C55" s="496">
        <f>IF(D11="","-",+C54+1)</f>
        <v>2055</v>
      </c>
      <c r="D55" s="509">
        <f>IF(F54+SUM(E$17:E54)=D$10,F54,D$10-SUM(E$17:E54))</f>
        <v>0</v>
      </c>
      <c r="E55" s="510">
        <f t="shared" si="9"/>
        <v>0</v>
      </c>
      <c r="F55" s="511">
        <f t="shared" si="5"/>
        <v>0</v>
      </c>
      <c r="G55" s="512">
        <f t="shared" si="6"/>
        <v>0</v>
      </c>
      <c r="H55" s="478">
        <f t="shared" si="7"/>
        <v>0</v>
      </c>
      <c r="I55" s="501">
        <f t="shared" si="3"/>
        <v>0</v>
      </c>
      <c r="J55" s="501"/>
      <c r="K55" s="513"/>
      <c r="L55" s="505">
        <f t="shared" si="8"/>
        <v>0</v>
      </c>
      <c r="M55" s="513"/>
      <c r="N55" s="505">
        <f t="shared" si="1"/>
        <v>0</v>
      </c>
      <c r="O55" s="505">
        <f t="shared" si="2"/>
        <v>0</v>
      </c>
      <c r="P55" s="279"/>
      <c r="R55" s="244"/>
      <c r="S55" s="244"/>
      <c r="T55" s="244"/>
      <c r="U55" s="244"/>
    </row>
    <row r="56" spans="2:21">
      <c r="B56" s="145" t="str">
        <f t="shared" si="0"/>
        <v/>
      </c>
      <c r="C56" s="496">
        <f>IF(D11="","-",+C55+1)</f>
        <v>2056</v>
      </c>
      <c r="D56" s="509">
        <f>IF(F55+SUM(E$17:E55)=D$10,F55,D$10-SUM(E$17:E55))</f>
        <v>0</v>
      </c>
      <c r="E56" s="510">
        <f t="shared" si="9"/>
        <v>0</v>
      </c>
      <c r="F56" s="511">
        <f t="shared" si="5"/>
        <v>0</v>
      </c>
      <c r="G56" s="512">
        <f t="shared" si="6"/>
        <v>0</v>
      </c>
      <c r="H56" s="478">
        <f t="shared" si="7"/>
        <v>0</v>
      </c>
      <c r="I56" s="501">
        <f t="shared" si="3"/>
        <v>0</v>
      </c>
      <c r="J56" s="501"/>
      <c r="K56" s="513"/>
      <c r="L56" s="505">
        <f t="shared" si="8"/>
        <v>0</v>
      </c>
      <c r="M56" s="513"/>
      <c r="N56" s="505">
        <f t="shared" si="1"/>
        <v>0</v>
      </c>
      <c r="O56" s="505">
        <f t="shared" si="2"/>
        <v>0</v>
      </c>
      <c r="P56" s="279"/>
      <c r="R56" s="244"/>
      <c r="S56" s="244"/>
      <c r="T56" s="244"/>
      <c r="U56" s="244"/>
    </row>
    <row r="57" spans="2:21">
      <c r="B57" s="145" t="str">
        <f t="shared" si="0"/>
        <v/>
      </c>
      <c r="C57" s="496">
        <f>IF(D11="","-",+C56+1)</f>
        <v>2057</v>
      </c>
      <c r="D57" s="509">
        <f>IF(F56+SUM(E$17:E56)=D$10,F56,D$10-SUM(E$17:E56))</f>
        <v>0</v>
      </c>
      <c r="E57" s="510">
        <f t="shared" si="9"/>
        <v>0</v>
      </c>
      <c r="F57" s="511">
        <f t="shared" si="5"/>
        <v>0</v>
      </c>
      <c r="G57" s="512">
        <f t="shared" si="6"/>
        <v>0</v>
      </c>
      <c r="H57" s="478">
        <f t="shared" si="7"/>
        <v>0</v>
      </c>
      <c r="I57" s="501">
        <f t="shared" si="3"/>
        <v>0</v>
      </c>
      <c r="J57" s="501"/>
      <c r="K57" s="513"/>
      <c r="L57" s="505">
        <f t="shared" si="8"/>
        <v>0</v>
      </c>
      <c r="M57" s="513"/>
      <c r="N57" s="505">
        <f t="shared" si="1"/>
        <v>0</v>
      </c>
      <c r="O57" s="505">
        <f t="shared" si="2"/>
        <v>0</v>
      </c>
      <c r="P57" s="279"/>
      <c r="R57" s="244"/>
      <c r="S57" s="244"/>
      <c r="T57" s="244"/>
      <c r="U57" s="244"/>
    </row>
    <row r="58" spans="2:21">
      <c r="B58" s="145" t="str">
        <f t="shared" si="0"/>
        <v/>
      </c>
      <c r="C58" s="496">
        <f>IF(D11="","-",+C57+1)</f>
        <v>2058</v>
      </c>
      <c r="D58" s="509">
        <f>IF(F57+SUM(E$17:E57)=D$10,F57,D$10-SUM(E$17:E57))</f>
        <v>0</v>
      </c>
      <c r="E58" s="510">
        <f t="shared" si="9"/>
        <v>0</v>
      </c>
      <c r="F58" s="511">
        <f t="shared" si="5"/>
        <v>0</v>
      </c>
      <c r="G58" s="512">
        <f t="shared" si="6"/>
        <v>0</v>
      </c>
      <c r="H58" s="478">
        <f t="shared" si="7"/>
        <v>0</v>
      </c>
      <c r="I58" s="501">
        <f t="shared" si="3"/>
        <v>0</v>
      </c>
      <c r="J58" s="501"/>
      <c r="K58" s="513"/>
      <c r="L58" s="505">
        <f t="shared" si="8"/>
        <v>0</v>
      </c>
      <c r="M58" s="513"/>
      <c r="N58" s="505">
        <f t="shared" si="1"/>
        <v>0</v>
      </c>
      <c r="O58" s="505">
        <f t="shared" si="2"/>
        <v>0</v>
      </c>
      <c r="P58" s="279"/>
      <c r="R58" s="244"/>
      <c r="S58" s="244"/>
      <c r="T58" s="244"/>
      <c r="U58" s="244"/>
    </row>
    <row r="59" spans="2:21">
      <c r="B59" s="145" t="str">
        <f t="shared" si="0"/>
        <v/>
      </c>
      <c r="C59" s="496">
        <f>IF(D11="","-",+C58+1)</f>
        <v>2059</v>
      </c>
      <c r="D59" s="509">
        <f>IF(F58+SUM(E$17:E58)=D$10,F58,D$10-SUM(E$17:E58))</f>
        <v>0</v>
      </c>
      <c r="E59" s="510">
        <f t="shared" si="9"/>
        <v>0</v>
      </c>
      <c r="F59" s="511">
        <f t="shared" si="5"/>
        <v>0</v>
      </c>
      <c r="G59" s="512">
        <f t="shared" si="6"/>
        <v>0</v>
      </c>
      <c r="H59" s="478">
        <f t="shared" si="7"/>
        <v>0</v>
      </c>
      <c r="I59" s="501">
        <f t="shared" si="3"/>
        <v>0</v>
      </c>
      <c r="J59" s="501"/>
      <c r="K59" s="513"/>
      <c r="L59" s="505">
        <f t="shared" si="8"/>
        <v>0</v>
      </c>
      <c r="M59" s="513"/>
      <c r="N59" s="505">
        <f t="shared" si="1"/>
        <v>0</v>
      </c>
      <c r="O59" s="505">
        <f t="shared" si="2"/>
        <v>0</v>
      </c>
      <c r="P59" s="279"/>
      <c r="R59" s="244"/>
      <c r="S59" s="244"/>
      <c r="T59" s="244"/>
      <c r="U59" s="244"/>
    </row>
    <row r="60" spans="2:21">
      <c r="B60" s="145" t="str">
        <f t="shared" si="0"/>
        <v/>
      </c>
      <c r="C60" s="496">
        <f>IF(D11="","-",+C59+1)</f>
        <v>2060</v>
      </c>
      <c r="D60" s="509">
        <f>IF(F59+SUM(E$17:E59)=D$10,F59,D$10-SUM(E$17:E59))</f>
        <v>0</v>
      </c>
      <c r="E60" s="510">
        <f t="shared" si="9"/>
        <v>0</v>
      </c>
      <c r="F60" s="511">
        <f t="shared" si="5"/>
        <v>0</v>
      </c>
      <c r="G60" s="512">
        <f t="shared" si="6"/>
        <v>0</v>
      </c>
      <c r="H60" s="478">
        <f t="shared" si="7"/>
        <v>0</v>
      </c>
      <c r="I60" s="501">
        <f t="shared" si="3"/>
        <v>0</v>
      </c>
      <c r="J60" s="501"/>
      <c r="K60" s="513"/>
      <c r="L60" s="505">
        <f t="shared" si="8"/>
        <v>0</v>
      </c>
      <c r="M60" s="513"/>
      <c r="N60" s="505">
        <f t="shared" si="1"/>
        <v>0</v>
      </c>
      <c r="O60" s="505">
        <f t="shared" si="2"/>
        <v>0</v>
      </c>
      <c r="P60" s="279"/>
      <c r="R60" s="244"/>
      <c r="S60" s="244"/>
      <c r="T60" s="244"/>
      <c r="U60" s="244"/>
    </row>
    <row r="61" spans="2:21">
      <c r="B61" s="145" t="str">
        <f t="shared" si="0"/>
        <v/>
      </c>
      <c r="C61" s="496">
        <f>IF(D11="","-",+C60+1)</f>
        <v>2061</v>
      </c>
      <c r="D61" s="509">
        <f>IF(F60+SUM(E$17:E60)=D$10,F60,D$10-SUM(E$17:E60))</f>
        <v>0</v>
      </c>
      <c r="E61" s="510">
        <f t="shared" si="9"/>
        <v>0</v>
      </c>
      <c r="F61" s="511">
        <f t="shared" si="5"/>
        <v>0</v>
      </c>
      <c r="G61" s="512">
        <f t="shared" si="6"/>
        <v>0</v>
      </c>
      <c r="H61" s="478">
        <f t="shared" si="7"/>
        <v>0</v>
      </c>
      <c r="I61" s="501">
        <f t="shared" si="3"/>
        <v>0</v>
      </c>
      <c r="J61" s="501"/>
      <c r="K61" s="513"/>
      <c r="L61" s="505">
        <f t="shared" si="8"/>
        <v>0</v>
      </c>
      <c r="M61" s="513"/>
      <c r="N61" s="505">
        <f t="shared" si="1"/>
        <v>0</v>
      </c>
      <c r="O61" s="505">
        <f t="shared" si="2"/>
        <v>0</v>
      </c>
      <c r="P61" s="279"/>
      <c r="R61" s="244"/>
      <c r="S61" s="244"/>
      <c r="T61" s="244"/>
      <c r="U61" s="244"/>
    </row>
    <row r="62" spans="2:21">
      <c r="B62" s="145" t="str">
        <f t="shared" si="0"/>
        <v/>
      </c>
      <c r="C62" s="496">
        <f>IF(D11="","-",+C61+1)</f>
        <v>2062</v>
      </c>
      <c r="D62" s="509">
        <f>IF(F61+SUM(E$17:E61)=D$10,F61,D$10-SUM(E$17:E61))</f>
        <v>0</v>
      </c>
      <c r="E62" s="510">
        <f t="shared" si="9"/>
        <v>0</v>
      </c>
      <c r="F62" s="511">
        <f t="shared" si="5"/>
        <v>0</v>
      </c>
      <c r="G62" s="512">
        <f t="shared" si="6"/>
        <v>0</v>
      </c>
      <c r="H62" s="478">
        <f t="shared" si="7"/>
        <v>0</v>
      </c>
      <c r="I62" s="501">
        <f t="shared" si="3"/>
        <v>0</v>
      </c>
      <c r="J62" s="501"/>
      <c r="K62" s="513"/>
      <c r="L62" s="505">
        <f t="shared" si="8"/>
        <v>0</v>
      </c>
      <c r="M62" s="513"/>
      <c r="N62" s="505">
        <f t="shared" si="1"/>
        <v>0</v>
      </c>
      <c r="O62" s="505">
        <f t="shared" si="2"/>
        <v>0</v>
      </c>
      <c r="P62" s="279"/>
      <c r="R62" s="244"/>
      <c r="S62" s="244"/>
      <c r="T62" s="244"/>
      <c r="U62" s="244"/>
    </row>
    <row r="63" spans="2:21">
      <c r="B63" s="145" t="str">
        <f t="shared" si="0"/>
        <v/>
      </c>
      <c r="C63" s="496">
        <f>IF(D11="","-",+C62+1)</f>
        <v>2063</v>
      </c>
      <c r="D63" s="509">
        <f>IF(F62+SUM(E$17:E62)=D$10,F62,D$10-SUM(E$17:E62))</f>
        <v>0</v>
      </c>
      <c r="E63" s="510">
        <f t="shared" si="9"/>
        <v>0</v>
      </c>
      <c r="F63" s="511">
        <f t="shared" si="5"/>
        <v>0</v>
      </c>
      <c r="G63" s="512">
        <f t="shared" si="6"/>
        <v>0</v>
      </c>
      <c r="H63" s="478">
        <f t="shared" si="7"/>
        <v>0</v>
      </c>
      <c r="I63" s="501">
        <f t="shared" si="3"/>
        <v>0</v>
      </c>
      <c r="J63" s="501"/>
      <c r="K63" s="513"/>
      <c r="L63" s="505">
        <f t="shared" si="8"/>
        <v>0</v>
      </c>
      <c r="M63" s="513"/>
      <c r="N63" s="505">
        <f t="shared" si="1"/>
        <v>0</v>
      </c>
      <c r="O63" s="505">
        <f t="shared" si="2"/>
        <v>0</v>
      </c>
      <c r="P63" s="279"/>
      <c r="R63" s="244"/>
      <c r="S63" s="244"/>
      <c r="T63" s="244"/>
      <c r="U63" s="244"/>
    </row>
    <row r="64" spans="2:21">
      <c r="B64" s="145" t="str">
        <f t="shared" si="0"/>
        <v/>
      </c>
      <c r="C64" s="496">
        <f>IF(D11="","-",+C63+1)</f>
        <v>2064</v>
      </c>
      <c r="D64" s="509">
        <f>IF(F63+SUM(E$17:E63)=D$10,F63,D$10-SUM(E$17:E63))</f>
        <v>0</v>
      </c>
      <c r="E64" s="510">
        <f t="shared" si="9"/>
        <v>0</v>
      </c>
      <c r="F64" s="511">
        <f t="shared" si="5"/>
        <v>0</v>
      </c>
      <c r="G64" s="512">
        <f t="shared" si="6"/>
        <v>0</v>
      </c>
      <c r="H64" s="478">
        <f t="shared" si="7"/>
        <v>0</v>
      </c>
      <c r="I64" s="501">
        <f t="shared" si="3"/>
        <v>0</v>
      </c>
      <c r="J64" s="501"/>
      <c r="K64" s="513"/>
      <c r="L64" s="505">
        <f t="shared" si="8"/>
        <v>0</v>
      </c>
      <c r="M64" s="513"/>
      <c r="N64" s="505">
        <f t="shared" si="1"/>
        <v>0</v>
      </c>
      <c r="O64" s="505">
        <f t="shared" si="2"/>
        <v>0</v>
      </c>
      <c r="P64" s="279"/>
      <c r="R64" s="244"/>
      <c r="S64" s="244"/>
      <c r="T64" s="244"/>
      <c r="U64" s="244"/>
    </row>
    <row r="65" spans="2:21">
      <c r="B65" s="145" t="str">
        <f t="shared" si="0"/>
        <v/>
      </c>
      <c r="C65" s="496">
        <f>IF(D11="","-",+C64+1)</f>
        <v>2065</v>
      </c>
      <c r="D65" s="509">
        <f>IF(F64+SUM(E$17:E64)=D$10,F64,D$10-SUM(E$17:E64))</f>
        <v>0</v>
      </c>
      <c r="E65" s="510">
        <f t="shared" si="9"/>
        <v>0</v>
      </c>
      <c r="F65" s="511">
        <f t="shared" si="5"/>
        <v>0</v>
      </c>
      <c r="G65" s="512">
        <f t="shared" si="6"/>
        <v>0</v>
      </c>
      <c r="H65" s="478">
        <f t="shared" si="7"/>
        <v>0</v>
      </c>
      <c r="I65" s="501">
        <f t="shared" si="3"/>
        <v>0</v>
      </c>
      <c r="J65" s="501"/>
      <c r="K65" s="513"/>
      <c r="L65" s="505">
        <f t="shared" si="8"/>
        <v>0</v>
      </c>
      <c r="M65" s="513"/>
      <c r="N65" s="505">
        <f t="shared" si="1"/>
        <v>0</v>
      </c>
      <c r="O65" s="505">
        <f t="shared" si="2"/>
        <v>0</v>
      </c>
      <c r="P65" s="279"/>
      <c r="R65" s="244"/>
      <c r="S65" s="244"/>
      <c r="T65" s="244"/>
      <c r="U65" s="244"/>
    </row>
    <row r="66" spans="2:21">
      <c r="B66" s="145" t="str">
        <f t="shared" si="0"/>
        <v/>
      </c>
      <c r="C66" s="496">
        <f>IF(D11="","-",+C65+1)</f>
        <v>2066</v>
      </c>
      <c r="D66" s="509">
        <f>IF(F65+SUM(E$17:E65)=D$10,F65,D$10-SUM(E$17:E65))</f>
        <v>0</v>
      </c>
      <c r="E66" s="510">
        <f t="shared" si="9"/>
        <v>0</v>
      </c>
      <c r="F66" s="511">
        <f t="shared" si="5"/>
        <v>0</v>
      </c>
      <c r="G66" s="512">
        <f t="shared" si="6"/>
        <v>0</v>
      </c>
      <c r="H66" s="478">
        <f t="shared" si="7"/>
        <v>0</v>
      </c>
      <c r="I66" s="501">
        <f t="shared" si="3"/>
        <v>0</v>
      </c>
      <c r="J66" s="501"/>
      <c r="K66" s="513"/>
      <c r="L66" s="505">
        <f t="shared" si="8"/>
        <v>0</v>
      </c>
      <c r="M66" s="513"/>
      <c r="N66" s="505">
        <f t="shared" si="1"/>
        <v>0</v>
      </c>
      <c r="O66" s="505">
        <f t="shared" si="2"/>
        <v>0</v>
      </c>
      <c r="P66" s="279"/>
      <c r="R66" s="244"/>
      <c r="S66" s="244"/>
      <c r="T66" s="244"/>
      <c r="U66" s="244"/>
    </row>
    <row r="67" spans="2:21">
      <c r="B67" s="145" t="str">
        <f t="shared" si="0"/>
        <v/>
      </c>
      <c r="C67" s="496">
        <f>IF(D11="","-",+C66+1)</f>
        <v>2067</v>
      </c>
      <c r="D67" s="509">
        <f>IF(F66+SUM(E$17:E66)=D$10,F66,D$10-SUM(E$17:E66))</f>
        <v>0</v>
      </c>
      <c r="E67" s="510">
        <f t="shared" si="9"/>
        <v>0</v>
      </c>
      <c r="F67" s="511">
        <f t="shared" si="5"/>
        <v>0</v>
      </c>
      <c r="G67" s="512">
        <f t="shared" si="6"/>
        <v>0</v>
      </c>
      <c r="H67" s="478">
        <f t="shared" si="7"/>
        <v>0</v>
      </c>
      <c r="I67" s="501">
        <f t="shared" si="3"/>
        <v>0</v>
      </c>
      <c r="J67" s="501"/>
      <c r="K67" s="513"/>
      <c r="L67" s="505">
        <f t="shared" si="8"/>
        <v>0</v>
      </c>
      <c r="M67" s="513"/>
      <c r="N67" s="505">
        <f t="shared" si="1"/>
        <v>0</v>
      </c>
      <c r="O67" s="505">
        <f t="shared" si="2"/>
        <v>0</v>
      </c>
      <c r="P67" s="279"/>
      <c r="R67" s="244"/>
      <c r="S67" s="244"/>
      <c r="T67" s="244"/>
      <c r="U67" s="244"/>
    </row>
    <row r="68" spans="2:21">
      <c r="B68" s="145" t="str">
        <f t="shared" si="0"/>
        <v/>
      </c>
      <c r="C68" s="496">
        <f>IF(D11="","-",+C67+1)</f>
        <v>2068</v>
      </c>
      <c r="D68" s="509">
        <f>IF(F67+SUM(E$17:E67)=D$10,F67,D$10-SUM(E$17:E67))</f>
        <v>0</v>
      </c>
      <c r="E68" s="510">
        <f t="shared" si="9"/>
        <v>0</v>
      </c>
      <c r="F68" s="511">
        <f t="shared" si="5"/>
        <v>0</v>
      </c>
      <c r="G68" s="512">
        <f t="shared" si="6"/>
        <v>0</v>
      </c>
      <c r="H68" s="478">
        <f t="shared" si="7"/>
        <v>0</v>
      </c>
      <c r="I68" s="501">
        <f t="shared" si="3"/>
        <v>0</v>
      </c>
      <c r="J68" s="501"/>
      <c r="K68" s="513"/>
      <c r="L68" s="505">
        <f t="shared" si="8"/>
        <v>0</v>
      </c>
      <c r="M68" s="513"/>
      <c r="N68" s="505">
        <f t="shared" si="1"/>
        <v>0</v>
      </c>
      <c r="O68" s="505">
        <f t="shared" si="2"/>
        <v>0</v>
      </c>
      <c r="P68" s="279"/>
      <c r="R68" s="244"/>
      <c r="S68" s="244"/>
      <c r="T68" s="244"/>
      <c r="U68" s="244"/>
    </row>
    <row r="69" spans="2:21">
      <c r="B69" s="145" t="str">
        <f t="shared" si="0"/>
        <v/>
      </c>
      <c r="C69" s="496">
        <f>IF(D11="","-",+C68+1)</f>
        <v>2069</v>
      </c>
      <c r="D69" s="509">
        <f>IF(F68+SUM(E$17:E68)=D$10,F68,D$10-SUM(E$17:E68))</f>
        <v>0</v>
      </c>
      <c r="E69" s="510">
        <f t="shared" si="9"/>
        <v>0</v>
      </c>
      <c r="F69" s="511">
        <f t="shared" si="5"/>
        <v>0</v>
      </c>
      <c r="G69" s="512">
        <f t="shared" si="6"/>
        <v>0</v>
      </c>
      <c r="H69" s="478">
        <f t="shared" si="7"/>
        <v>0</v>
      </c>
      <c r="I69" s="501">
        <f t="shared" si="3"/>
        <v>0</v>
      </c>
      <c r="J69" s="501"/>
      <c r="K69" s="513"/>
      <c r="L69" s="505">
        <f t="shared" si="8"/>
        <v>0</v>
      </c>
      <c r="M69" s="513"/>
      <c r="N69" s="505">
        <f t="shared" si="1"/>
        <v>0</v>
      </c>
      <c r="O69" s="505">
        <f t="shared" si="2"/>
        <v>0</v>
      </c>
      <c r="P69" s="279"/>
      <c r="R69" s="244"/>
      <c r="S69" s="244"/>
      <c r="T69" s="244"/>
      <c r="U69" s="244"/>
    </row>
    <row r="70" spans="2:21">
      <c r="B70" s="145" t="str">
        <f t="shared" si="0"/>
        <v/>
      </c>
      <c r="C70" s="496">
        <f>IF(D11="","-",+C69+1)</f>
        <v>2070</v>
      </c>
      <c r="D70" s="509">
        <f>IF(F69+SUM(E$17:E69)=D$10,F69,D$10-SUM(E$17:E69))</f>
        <v>0</v>
      </c>
      <c r="E70" s="510">
        <f t="shared" si="9"/>
        <v>0</v>
      </c>
      <c r="F70" s="511">
        <f t="shared" si="5"/>
        <v>0</v>
      </c>
      <c r="G70" s="512">
        <f t="shared" si="6"/>
        <v>0</v>
      </c>
      <c r="H70" s="478">
        <f t="shared" si="7"/>
        <v>0</v>
      </c>
      <c r="I70" s="501">
        <f t="shared" si="3"/>
        <v>0</v>
      </c>
      <c r="J70" s="501"/>
      <c r="K70" s="513"/>
      <c r="L70" s="505">
        <f t="shared" si="8"/>
        <v>0</v>
      </c>
      <c r="M70" s="513"/>
      <c r="N70" s="505">
        <f t="shared" si="1"/>
        <v>0</v>
      </c>
      <c r="O70" s="505">
        <f t="shared" si="2"/>
        <v>0</v>
      </c>
      <c r="P70" s="279"/>
      <c r="R70" s="244"/>
      <c r="S70" s="244"/>
      <c r="T70" s="244"/>
      <c r="U70" s="244"/>
    </row>
    <row r="71" spans="2:21">
      <c r="B71" s="145" t="str">
        <f t="shared" si="0"/>
        <v/>
      </c>
      <c r="C71" s="496">
        <f>IF(D11="","-",+C70+1)</f>
        <v>2071</v>
      </c>
      <c r="D71" s="509">
        <f>IF(F70+SUM(E$17:E70)=D$10,F70,D$10-SUM(E$17:E70))</f>
        <v>0</v>
      </c>
      <c r="E71" s="510">
        <f t="shared" si="9"/>
        <v>0</v>
      </c>
      <c r="F71" s="511">
        <f t="shared" si="5"/>
        <v>0</v>
      </c>
      <c r="G71" s="512">
        <f t="shared" si="6"/>
        <v>0</v>
      </c>
      <c r="H71" s="478">
        <f t="shared" si="7"/>
        <v>0</v>
      </c>
      <c r="I71" s="501">
        <f t="shared" si="3"/>
        <v>0</v>
      </c>
      <c r="J71" s="501"/>
      <c r="K71" s="513"/>
      <c r="L71" s="505">
        <f t="shared" si="8"/>
        <v>0</v>
      </c>
      <c r="M71" s="513"/>
      <c r="N71" s="505">
        <f t="shared" si="1"/>
        <v>0</v>
      </c>
      <c r="O71" s="505">
        <f t="shared" si="2"/>
        <v>0</v>
      </c>
      <c r="P71" s="279"/>
      <c r="R71" s="244"/>
      <c r="S71" s="244"/>
      <c r="T71" s="244"/>
      <c r="U71" s="244"/>
    </row>
    <row r="72" spans="2:21">
      <c r="B72" s="145" t="str">
        <f t="shared" si="0"/>
        <v/>
      </c>
      <c r="C72" s="496">
        <f>IF(D11="","-",+C71+1)</f>
        <v>2072</v>
      </c>
      <c r="D72" s="509">
        <f>IF(F71+SUM(E$17:E71)=D$10,F71,D$10-SUM(E$17:E71))</f>
        <v>0</v>
      </c>
      <c r="E72" s="510">
        <f t="shared" si="9"/>
        <v>0</v>
      </c>
      <c r="F72" s="511">
        <f t="shared" si="5"/>
        <v>0</v>
      </c>
      <c r="G72" s="512">
        <f t="shared" si="6"/>
        <v>0</v>
      </c>
      <c r="H72" s="478">
        <f t="shared" si="7"/>
        <v>0</v>
      </c>
      <c r="I72" s="501">
        <f t="shared" si="3"/>
        <v>0</v>
      </c>
      <c r="J72" s="501"/>
      <c r="K72" s="513"/>
      <c r="L72" s="505">
        <f t="shared" si="8"/>
        <v>0</v>
      </c>
      <c r="M72" s="513"/>
      <c r="N72" s="505">
        <f t="shared" si="1"/>
        <v>0</v>
      </c>
      <c r="O72" s="505">
        <f t="shared" si="2"/>
        <v>0</v>
      </c>
      <c r="P72" s="279"/>
      <c r="R72" s="244"/>
      <c r="S72" s="244"/>
      <c r="T72" s="244"/>
      <c r="U72" s="244"/>
    </row>
    <row r="73" spans="2:21" ht="13.5" thickBot="1">
      <c r="B73" s="145" t="str">
        <f t="shared" si="0"/>
        <v/>
      </c>
      <c r="C73" s="525">
        <f>IF(D11="","-",+C72+1)</f>
        <v>2073</v>
      </c>
      <c r="D73" s="526">
        <f>IF(F72+SUM(E$17:E72)=D$10,F72,D$10-SUM(E$17:E72))</f>
        <v>0</v>
      </c>
      <c r="E73" s="527">
        <f t="shared" si="9"/>
        <v>0</v>
      </c>
      <c r="F73" s="528">
        <f t="shared" si="5"/>
        <v>0</v>
      </c>
      <c r="G73" s="528">
        <f t="shared" si="6"/>
        <v>0</v>
      </c>
      <c r="H73" s="528">
        <f t="shared" si="7"/>
        <v>0</v>
      </c>
      <c r="I73" s="530">
        <f t="shared" si="3"/>
        <v>0</v>
      </c>
      <c r="J73" s="501"/>
      <c r="K73" s="531"/>
      <c r="L73" s="532">
        <f t="shared" si="8"/>
        <v>0</v>
      </c>
      <c r="M73" s="531"/>
      <c r="N73" s="532">
        <f t="shared" si="1"/>
        <v>0</v>
      </c>
      <c r="O73" s="532">
        <f t="shared" si="2"/>
        <v>0</v>
      </c>
      <c r="P73" s="279"/>
      <c r="R73" s="244"/>
      <c r="S73" s="244"/>
      <c r="T73" s="244"/>
      <c r="U73" s="244"/>
    </row>
    <row r="74" spans="2:21">
      <c r="C74" s="350" t="s">
        <v>75</v>
      </c>
      <c r="D74" s="295"/>
      <c r="E74" s="295">
        <f>SUM(E17:E73)</f>
        <v>11056565</v>
      </c>
      <c r="F74" s="295"/>
      <c r="G74" s="295">
        <f>SUM(G17:G73)</f>
        <v>31747047.196790814</v>
      </c>
      <c r="H74" s="295">
        <f>SUM(H17:H73)</f>
        <v>31747047.196790814</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15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1424987.0679285447</v>
      </c>
      <c r="N88" s="545">
        <f>IF(J93&lt;D11,0,VLOOKUP(J93,C17:O73,11))</f>
        <v>1424987.0679285447</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1585198.8759410642</v>
      </c>
      <c r="N89" s="549">
        <f>IF(J93&lt;D11,0,VLOOKUP(J93,C100:P155,7))</f>
        <v>1585198.8759410642</v>
      </c>
      <c r="O89" s="550">
        <f>+N89-M89</f>
        <v>0</v>
      </c>
      <c r="P89" s="244"/>
      <c r="Q89" s="244"/>
      <c r="R89" s="244"/>
      <c r="S89" s="244"/>
      <c r="T89" s="244"/>
      <c r="U89" s="244"/>
    </row>
    <row r="90" spans="1:21" ht="13.5" thickBot="1">
      <c r="C90" s="455" t="s">
        <v>82</v>
      </c>
      <c r="D90" s="551" t="str">
        <f>+D7</f>
        <v>Darlington Roman Nose 138 kv</v>
      </c>
      <c r="E90" s="244"/>
      <c r="F90" s="244"/>
      <c r="G90" s="244"/>
      <c r="H90" s="244"/>
      <c r="I90" s="326"/>
      <c r="J90" s="326"/>
      <c r="K90" s="552"/>
      <c r="L90" s="553" t="s">
        <v>135</v>
      </c>
      <c r="M90" s="554">
        <f>+M89-M88</f>
        <v>160211.8080125195</v>
      </c>
      <c r="N90" s="554">
        <f>+N89-N88</f>
        <v>160211.8080125195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
        <v>261</v>
      </c>
      <c r="E92" s="559"/>
      <c r="F92" s="559"/>
      <c r="G92" s="559"/>
      <c r="H92" s="559"/>
      <c r="I92" s="559"/>
      <c r="J92" s="559"/>
      <c r="K92" s="561"/>
      <c r="P92" s="469"/>
      <c r="Q92" s="244"/>
      <c r="R92" s="244"/>
      <c r="S92" s="244"/>
      <c r="T92" s="244"/>
      <c r="U92" s="244"/>
    </row>
    <row r="93" spans="1:21">
      <c r="C93" s="473" t="s">
        <v>49</v>
      </c>
      <c r="D93" s="599">
        <v>11056565</v>
      </c>
      <c r="E93" s="249" t="s">
        <v>84</v>
      </c>
      <c r="H93" s="409"/>
      <c r="I93" s="409"/>
      <c r="J93" s="472">
        <f>+'OKT.WS.G.BPU.ATRR.True-up'!M16</f>
        <v>2021</v>
      </c>
      <c r="K93" s="468"/>
      <c r="L93" s="295" t="s">
        <v>85</v>
      </c>
      <c r="P93" s="279"/>
      <c r="Q93" s="244"/>
      <c r="R93" s="244"/>
      <c r="S93" s="244"/>
      <c r="T93" s="244"/>
      <c r="U93" s="244"/>
    </row>
    <row r="94" spans="1:21">
      <c r="C94" s="473" t="s">
        <v>52</v>
      </c>
      <c r="D94" s="637">
        <f>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99">
        <f>D12</f>
        <v>6</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442262.6</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55" si="10">IF(D100=F99,"","IU")</f>
        <v>IU</v>
      </c>
      <c r="C100" s="496">
        <f>IF(D94= "","-",D94)</f>
        <v>2017</v>
      </c>
      <c r="D100" s="497">
        <v>0</v>
      </c>
      <c r="E100" s="499">
        <v>137920.28750000001</v>
      </c>
      <c r="F100" s="506">
        <v>10895702.7125</v>
      </c>
      <c r="G100" s="506">
        <v>5447851.3562500002</v>
      </c>
      <c r="H100" s="499">
        <v>777148.63448158256</v>
      </c>
      <c r="I100" s="500">
        <v>777148.63448158256</v>
      </c>
      <c r="J100" s="505">
        <f>+I100-H100</f>
        <v>0</v>
      </c>
      <c r="K100" s="505"/>
      <c r="L100" s="507">
        <f>+H100</f>
        <v>777148.63448158256</v>
      </c>
      <c r="M100" s="505">
        <f>IF(L100&lt;&gt;0,+H100-L100,0)</f>
        <v>0</v>
      </c>
      <c r="N100" s="507">
        <f>+I100</f>
        <v>777148.63448158256</v>
      </c>
      <c r="O100" s="587">
        <f>IF(N100&lt;&gt;0,+I100-N100,0)</f>
        <v>0</v>
      </c>
      <c r="P100" s="505">
        <f>+O100-M100</f>
        <v>0</v>
      </c>
      <c r="Q100" s="244"/>
      <c r="R100" s="244"/>
      <c r="S100" s="244"/>
      <c r="T100" s="244"/>
      <c r="U100" s="244"/>
    </row>
    <row r="101" spans="1:21">
      <c r="B101" s="145" t="str">
        <f t="shared" si="10"/>
        <v/>
      </c>
      <c r="C101" s="496">
        <f>IF(D94="","-",+C100+1)</f>
        <v>2018</v>
      </c>
      <c r="D101" s="497">
        <v>10895702.7125</v>
      </c>
      <c r="E101" s="499">
        <v>306489.52777777775</v>
      </c>
      <c r="F101" s="506">
        <v>10589213.184722222</v>
      </c>
      <c r="G101" s="506">
        <v>10742457.94861111</v>
      </c>
      <c r="H101" s="499">
        <v>1440489.6981770755</v>
      </c>
      <c r="I101" s="500">
        <v>1440489.6981770755</v>
      </c>
      <c r="J101" s="505">
        <v>0</v>
      </c>
      <c r="K101" s="505"/>
      <c r="L101" s="507">
        <f>H101</f>
        <v>1440489.6981770755</v>
      </c>
      <c r="M101" s="505">
        <f>IF(L101&lt;&gt;0,+H101-L101,0)</f>
        <v>0</v>
      </c>
      <c r="N101" s="507">
        <f>I101</f>
        <v>1440489.6981770755</v>
      </c>
      <c r="O101" s="505">
        <f>IF(N101&lt;&gt;0,+I101-N101,0)</f>
        <v>0</v>
      </c>
      <c r="P101" s="505">
        <f>+O101-M101</f>
        <v>0</v>
      </c>
      <c r="Q101" s="244"/>
      <c r="R101" s="244"/>
      <c r="S101" s="244"/>
      <c r="T101" s="244"/>
      <c r="U101" s="244"/>
    </row>
    <row r="102" spans="1:21">
      <c r="B102" s="145" t="str">
        <f t="shared" si="10"/>
        <v>IU</v>
      </c>
      <c r="C102" s="496">
        <f>IF(D94="","-",+C101+1)</f>
        <v>2019</v>
      </c>
      <c r="D102" s="497">
        <v>10612155.184722222</v>
      </c>
      <c r="E102" s="499">
        <v>307126.80555555556</v>
      </c>
      <c r="F102" s="506">
        <v>10305028.379166666</v>
      </c>
      <c r="G102" s="506">
        <v>10458591.781944444</v>
      </c>
      <c r="H102" s="499">
        <v>1411161.3681851514</v>
      </c>
      <c r="I102" s="500">
        <v>1411161.3681851514</v>
      </c>
      <c r="J102" s="505">
        <f t="shared" ref="J102:J155" si="11">+I102-H102</f>
        <v>0</v>
      </c>
      <c r="K102" s="505"/>
      <c r="L102" s="507">
        <f>H102</f>
        <v>1411161.3681851514</v>
      </c>
      <c r="M102" s="505">
        <f>IF(L102&lt;&gt;0,+H102-L102,0)</f>
        <v>0</v>
      </c>
      <c r="N102" s="507">
        <f>I102</f>
        <v>1411161.3681851514</v>
      </c>
      <c r="O102" s="505">
        <f t="shared" ref="O102:O155" si="12">IF(N102&lt;&gt;0,+I102-N102,0)</f>
        <v>0</v>
      </c>
      <c r="P102" s="505">
        <f t="shared" ref="P102:P155" si="13">+O102-M102</f>
        <v>0</v>
      </c>
      <c r="Q102" s="244"/>
      <c r="R102" s="244"/>
      <c r="S102" s="244"/>
      <c r="T102" s="244"/>
      <c r="U102" s="244"/>
    </row>
    <row r="103" spans="1:21">
      <c r="B103" s="145" t="str">
        <f t="shared" si="10"/>
        <v/>
      </c>
      <c r="C103" s="496">
        <f>IF(D94="","-",+C102+1)</f>
        <v>2020</v>
      </c>
      <c r="D103" s="497">
        <v>10305028.379166666</v>
      </c>
      <c r="E103" s="499">
        <v>394877.32142857142</v>
      </c>
      <c r="F103" s="506">
        <v>9910151.0577380955</v>
      </c>
      <c r="G103" s="506">
        <v>10107589.718452381</v>
      </c>
      <c r="H103" s="499">
        <v>1470461.3095253243</v>
      </c>
      <c r="I103" s="500">
        <v>1470461.3095253243</v>
      </c>
      <c r="J103" s="505">
        <f t="shared" si="11"/>
        <v>0</v>
      </c>
      <c r="K103" s="505"/>
      <c r="L103" s="507">
        <f>H103</f>
        <v>1470461.3095253243</v>
      </c>
      <c r="M103" s="505">
        <f>IF(L103&lt;&gt;0,+H103-L103,0)</f>
        <v>0</v>
      </c>
      <c r="N103" s="507">
        <f>I103</f>
        <v>1470461.3095253243</v>
      </c>
      <c r="O103" s="505">
        <f t="shared" si="12"/>
        <v>0</v>
      </c>
      <c r="P103" s="505">
        <f t="shared" si="13"/>
        <v>0</v>
      </c>
      <c r="Q103" s="244"/>
      <c r="R103" s="244"/>
      <c r="S103" s="244"/>
      <c r="T103" s="244"/>
      <c r="U103" s="244"/>
    </row>
    <row r="104" spans="1:21">
      <c r="B104" s="145" t="str">
        <f t="shared" si="10"/>
        <v/>
      </c>
      <c r="C104" s="496">
        <f>IF(D94="","-",+C103+1)</f>
        <v>2021</v>
      </c>
      <c r="D104" s="350">
        <f>IF(F103+SUM(E$100:E103)=D$93,F103,D$93-SUM(E$100:E103))</f>
        <v>9910151.0577380955</v>
      </c>
      <c r="E104" s="510">
        <f t="shared" ref="E104:E134" si="14">IF(+J$97&lt;F103,J$97,D104)</f>
        <v>442262.6</v>
      </c>
      <c r="F104" s="511">
        <f t="shared" ref="F104:F155" si="15">+D104-E104</f>
        <v>9467888.4577380959</v>
      </c>
      <c r="G104" s="511">
        <f t="shared" ref="G104:G155" si="16">+(F104+D104)/2</f>
        <v>9689019.7577380948</v>
      </c>
      <c r="H104" s="646">
        <f t="shared" ref="H104:H155" si="17">(D104+F104)/2*J$95+E104</f>
        <v>1585198.8759410642</v>
      </c>
      <c r="I104" s="573">
        <f t="shared" ref="I104:I155" si="18">+J$96*G104+E104</f>
        <v>1585198.8759410642</v>
      </c>
      <c r="J104" s="505">
        <f t="shared" si="11"/>
        <v>0</v>
      </c>
      <c r="K104" s="505"/>
      <c r="L104" s="513"/>
      <c r="M104" s="505">
        <f t="shared" ref="M104:M155" si="19">IF(L104&lt;&gt;0,+H104-L104,0)</f>
        <v>0</v>
      </c>
      <c r="N104" s="513"/>
      <c r="O104" s="505">
        <f t="shared" si="12"/>
        <v>0</v>
      </c>
      <c r="P104" s="505">
        <f t="shared" si="13"/>
        <v>0</v>
      </c>
      <c r="Q104" s="244"/>
      <c r="R104" s="244"/>
      <c r="S104" s="244"/>
      <c r="T104" s="244"/>
      <c r="U104" s="244"/>
    </row>
    <row r="105" spans="1:21">
      <c r="B105" s="145" t="str">
        <f t="shared" si="10"/>
        <v/>
      </c>
      <c r="C105" s="496">
        <f>IF(D94="","-",+C104+1)</f>
        <v>2022</v>
      </c>
      <c r="D105" s="350">
        <f>IF(F104+SUM(E$100:E104)=D$93,F104,D$93-SUM(E$100:E104))</f>
        <v>9467888.4577380959</v>
      </c>
      <c r="E105" s="510">
        <f t="shared" si="14"/>
        <v>442262.6</v>
      </c>
      <c r="F105" s="511">
        <f t="shared" si="15"/>
        <v>9025625.8577380963</v>
      </c>
      <c r="G105" s="511">
        <f t="shared" si="16"/>
        <v>9246757.157738097</v>
      </c>
      <c r="H105" s="646">
        <f t="shared" si="17"/>
        <v>1533028.6893101293</v>
      </c>
      <c r="I105" s="573">
        <f t="shared" si="18"/>
        <v>1533028.6893101293</v>
      </c>
      <c r="J105" s="505">
        <f t="shared" si="11"/>
        <v>0</v>
      </c>
      <c r="K105" s="505"/>
      <c r="L105" s="513"/>
      <c r="M105" s="505">
        <f t="shared" si="19"/>
        <v>0</v>
      </c>
      <c r="N105" s="513"/>
      <c r="O105" s="505">
        <f t="shared" si="12"/>
        <v>0</v>
      </c>
      <c r="P105" s="505">
        <f t="shared" si="13"/>
        <v>0</v>
      </c>
      <c r="Q105" s="244"/>
      <c r="R105" s="244"/>
      <c r="S105" s="244"/>
      <c r="T105" s="244"/>
      <c r="U105" s="244"/>
    </row>
    <row r="106" spans="1:21">
      <c r="B106" s="145" t="str">
        <f t="shared" si="10"/>
        <v/>
      </c>
      <c r="C106" s="496">
        <f>IF(D94="","-",+C105+1)</f>
        <v>2023</v>
      </c>
      <c r="D106" s="350">
        <f>IF(F105+SUM(E$100:E105)=D$93,F105,D$93-SUM(E$100:E105))</f>
        <v>9025625.8577380963</v>
      </c>
      <c r="E106" s="510">
        <f t="shared" si="14"/>
        <v>442262.6</v>
      </c>
      <c r="F106" s="511">
        <f t="shared" si="15"/>
        <v>8583363.2577380966</v>
      </c>
      <c r="G106" s="511">
        <f t="shared" si="16"/>
        <v>8804494.5577380955</v>
      </c>
      <c r="H106" s="646">
        <f t="shared" si="17"/>
        <v>1480858.5026791943</v>
      </c>
      <c r="I106" s="573">
        <f t="shared" si="18"/>
        <v>1480858.5026791943</v>
      </c>
      <c r="J106" s="505">
        <f t="shared" si="11"/>
        <v>0</v>
      </c>
      <c r="K106" s="505"/>
      <c r="L106" s="513"/>
      <c r="M106" s="505">
        <f t="shared" si="19"/>
        <v>0</v>
      </c>
      <c r="N106" s="513"/>
      <c r="O106" s="505">
        <f t="shared" si="12"/>
        <v>0</v>
      </c>
      <c r="P106" s="505">
        <f t="shared" si="13"/>
        <v>0</v>
      </c>
      <c r="Q106" s="244"/>
      <c r="R106" s="244"/>
      <c r="S106" s="244"/>
      <c r="T106" s="244"/>
      <c r="U106" s="244"/>
    </row>
    <row r="107" spans="1:21">
      <c r="B107" s="145" t="str">
        <f t="shared" si="10"/>
        <v/>
      </c>
      <c r="C107" s="496">
        <f>IF(D94="","-",+C106+1)</f>
        <v>2024</v>
      </c>
      <c r="D107" s="350">
        <f>IF(F106+SUM(E$100:E106)=D$93,F106,D$93-SUM(E$100:E106))</f>
        <v>8583363.2577380966</v>
      </c>
      <c r="E107" s="510">
        <f t="shared" si="14"/>
        <v>442262.6</v>
      </c>
      <c r="F107" s="511">
        <f t="shared" si="15"/>
        <v>8141100.657738097</v>
      </c>
      <c r="G107" s="511">
        <f t="shared" si="16"/>
        <v>8362231.9577380968</v>
      </c>
      <c r="H107" s="646">
        <f t="shared" si="17"/>
        <v>1428688.3160482594</v>
      </c>
      <c r="I107" s="573">
        <f t="shared" si="18"/>
        <v>1428688.3160482594</v>
      </c>
      <c r="J107" s="505">
        <f t="shared" si="11"/>
        <v>0</v>
      </c>
      <c r="K107" s="505"/>
      <c r="L107" s="513"/>
      <c r="M107" s="505">
        <f t="shared" si="19"/>
        <v>0</v>
      </c>
      <c r="N107" s="513"/>
      <c r="O107" s="505">
        <f t="shared" si="12"/>
        <v>0</v>
      </c>
      <c r="P107" s="505">
        <f t="shared" si="13"/>
        <v>0</v>
      </c>
      <c r="Q107" s="244"/>
      <c r="R107" s="244"/>
      <c r="S107" s="244"/>
      <c r="T107" s="244"/>
      <c r="U107" s="244"/>
    </row>
    <row r="108" spans="1:21">
      <c r="B108" s="145" t="str">
        <f t="shared" si="10"/>
        <v/>
      </c>
      <c r="C108" s="496">
        <f>IF(D94="","-",+C107+1)</f>
        <v>2025</v>
      </c>
      <c r="D108" s="350">
        <f>IF(F107+SUM(E$100:E107)=D$93,F107,D$93-SUM(E$100:E107))</f>
        <v>8141100.657738097</v>
      </c>
      <c r="E108" s="510">
        <f t="shared" si="14"/>
        <v>442262.6</v>
      </c>
      <c r="F108" s="511">
        <f t="shared" si="15"/>
        <v>7698838.0577380974</v>
      </c>
      <c r="G108" s="511">
        <f t="shared" si="16"/>
        <v>7919969.3577380972</v>
      </c>
      <c r="H108" s="646">
        <f t="shared" si="17"/>
        <v>1376518.1294173244</v>
      </c>
      <c r="I108" s="573">
        <f t="shared" si="18"/>
        <v>1376518.1294173244</v>
      </c>
      <c r="J108" s="505">
        <f t="shared" si="11"/>
        <v>0</v>
      </c>
      <c r="K108" s="505"/>
      <c r="L108" s="513"/>
      <c r="M108" s="505">
        <f t="shared" si="19"/>
        <v>0</v>
      </c>
      <c r="N108" s="513"/>
      <c r="O108" s="505">
        <f t="shared" si="12"/>
        <v>0</v>
      </c>
      <c r="P108" s="505">
        <f t="shared" si="13"/>
        <v>0</v>
      </c>
      <c r="Q108" s="244"/>
      <c r="R108" s="244"/>
      <c r="S108" s="244"/>
      <c r="T108" s="244"/>
      <c r="U108" s="244"/>
    </row>
    <row r="109" spans="1:21">
      <c r="B109" s="145" t="str">
        <f t="shared" si="10"/>
        <v/>
      </c>
      <c r="C109" s="496">
        <f>IF(D94="","-",+C108+1)</f>
        <v>2026</v>
      </c>
      <c r="D109" s="350">
        <f>IF(F108+SUM(E$100:E108)=D$93,F108,D$93-SUM(E$100:E108))</f>
        <v>7698838.0577380974</v>
      </c>
      <c r="E109" s="510">
        <f t="shared" si="14"/>
        <v>442262.6</v>
      </c>
      <c r="F109" s="511">
        <f t="shared" si="15"/>
        <v>7256575.4577380978</v>
      </c>
      <c r="G109" s="511">
        <f t="shared" si="16"/>
        <v>7477706.7577380976</v>
      </c>
      <c r="H109" s="646">
        <f t="shared" si="17"/>
        <v>1324347.9427863897</v>
      </c>
      <c r="I109" s="573">
        <f t="shared" si="18"/>
        <v>1324347.9427863897</v>
      </c>
      <c r="J109" s="505">
        <f t="shared" si="11"/>
        <v>0</v>
      </c>
      <c r="K109" s="505"/>
      <c r="L109" s="513"/>
      <c r="M109" s="505">
        <f t="shared" si="19"/>
        <v>0</v>
      </c>
      <c r="N109" s="513"/>
      <c r="O109" s="505">
        <f t="shared" si="12"/>
        <v>0</v>
      </c>
      <c r="P109" s="505">
        <f t="shared" si="13"/>
        <v>0</v>
      </c>
      <c r="Q109" s="244"/>
      <c r="R109" s="244"/>
      <c r="S109" s="244"/>
      <c r="T109" s="244"/>
      <c r="U109" s="244"/>
    </row>
    <row r="110" spans="1:21">
      <c r="B110" s="145" t="str">
        <f t="shared" si="10"/>
        <v/>
      </c>
      <c r="C110" s="496">
        <f>IF(D94="","-",+C109+1)</f>
        <v>2027</v>
      </c>
      <c r="D110" s="350">
        <f>IF(F109+SUM(E$100:E109)=D$93,F109,D$93-SUM(E$100:E109))</f>
        <v>7256575.4577380978</v>
      </c>
      <c r="E110" s="510">
        <f t="shared" si="14"/>
        <v>442262.6</v>
      </c>
      <c r="F110" s="511">
        <f t="shared" si="15"/>
        <v>6814312.8577380981</v>
      </c>
      <c r="G110" s="511">
        <f t="shared" si="16"/>
        <v>7035444.1577380979</v>
      </c>
      <c r="H110" s="646">
        <f t="shared" si="17"/>
        <v>1272177.7561554548</v>
      </c>
      <c r="I110" s="573">
        <f t="shared" si="18"/>
        <v>1272177.7561554548</v>
      </c>
      <c r="J110" s="505">
        <f t="shared" si="11"/>
        <v>0</v>
      </c>
      <c r="K110" s="505"/>
      <c r="L110" s="513"/>
      <c r="M110" s="505">
        <f t="shared" si="19"/>
        <v>0</v>
      </c>
      <c r="N110" s="513"/>
      <c r="O110" s="505">
        <f t="shared" si="12"/>
        <v>0</v>
      </c>
      <c r="P110" s="505">
        <f t="shared" si="13"/>
        <v>0</v>
      </c>
      <c r="Q110" s="244"/>
      <c r="R110" s="244"/>
      <c r="S110" s="244"/>
      <c r="T110" s="244"/>
      <c r="U110" s="244"/>
    </row>
    <row r="111" spans="1:21">
      <c r="B111" s="145" t="str">
        <f t="shared" si="10"/>
        <v/>
      </c>
      <c r="C111" s="496">
        <f>IF(D94="","-",+C110+1)</f>
        <v>2028</v>
      </c>
      <c r="D111" s="350">
        <f>IF(F110+SUM(E$100:E110)=D$93,F110,D$93-SUM(E$100:E110))</f>
        <v>6814312.8577380981</v>
      </c>
      <c r="E111" s="510">
        <f t="shared" si="14"/>
        <v>442262.6</v>
      </c>
      <c r="F111" s="511">
        <f t="shared" si="15"/>
        <v>6372050.2577380985</v>
      </c>
      <c r="G111" s="511">
        <f t="shared" si="16"/>
        <v>6593181.5577380983</v>
      </c>
      <c r="H111" s="646">
        <f t="shared" si="17"/>
        <v>1220007.5695245201</v>
      </c>
      <c r="I111" s="573">
        <f t="shared" si="18"/>
        <v>1220007.5695245201</v>
      </c>
      <c r="J111" s="505">
        <f t="shared" si="11"/>
        <v>0</v>
      </c>
      <c r="K111" s="505"/>
      <c r="L111" s="513"/>
      <c r="M111" s="505">
        <f t="shared" si="19"/>
        <v>0</v>
      </c>
      <c r="N111" s="513"/>
      <c r="O111" s="505">
        <f t="shared" si="12"/>
        <v>0</v>
      </c>
      <c r="P111" s="505">
        <f t="shared" si="13"/>
        <v>0</v>
      </c>
      <c r="Q111" s="244"/>
      <c r="R111" s="244"/>
      <c r="S111" s="244"/>
      <c r="T111" s="244"/>
      <c r="U111" s="244"/>
    </row>
    <row r="112" spans="1:21">
      <c r="B112" s="145" t="str">
        <f t="shared" si="10"/>
        <v/>
      </c>
      <c r="C112" s="496">
        <f>IF(D94="","-",+C111+1)</f>
        <v>2029</v>
      </c>
      <c r="D112" s="350">
        <f>IF(F111+SUM(E$100:E111)=D$93,F111,D$93-SUM(E$100:E111))</f>
        <v>6372050.2577380985</v>
      </c>
      <c r="E112" s="510">
        <f t="shared" si="14"/>
        <v>442262.6</v>
      </c>
      <c r="F112" s="511">
        <f t="shared" si="15"/>
        <v>5929787.6577380989</v>
      </c>
      <c r="G112" s="511">
        <f t="shared" si="16"/>
        <v>6150918.9577380987</v>
      </c>
      <c r="H112" s="646">
        <f t="shared" si="17"/>
        <v>1167837.3828935851</v>
      </c>
      <c r="I112" s="573">
        <f t="shared" si="18"/>
        <v>1167837.3828935851</v>
      </c>
      <c r="J112" s="505">
        <f t="shared" si="11"/>
        <v>0</v>
      </c>
      <c r="K112" s="505"/>
      <c r="L112" s="513"/>
      <c r="M112" s="505">
        <f t="shared" si="19"/>
        <v>0</v>
      </c>
      <c r="N112" s="513"/>
      <c r="O112" s="505">
        <f t="shared" si="12"/>
        <v>0</v>
      </c>
      <c r="P112" s="505">
        <f t="shared" si="13"/>
        <v>0</v>
      </c>
      <c r="Q112" s="244"/>
      <c r="R112" s="244"/>
      <c r="S112" s="244"/>
      <c r="T112" s="244"/>
      <c r="U112" s="244"/>
    </row>
    <row r="113" spans="2:21">
      <c r="B113" s="145" t="str">
        <f t="shared" si="10"/>
        <v/>
      </c>
      <c r="C113" s="496">
        <f>IF(D94="","-",+C112+1)</f>
        <v>2030</v>
      </c>
      <c r="D113" s="350">
        <f>IF(F112+SUM(E$100:E112)=D$93,F112,D$93-SUM(E$100:E112))</f>
        <v>5929787.6577380989</v>
      </c>
      <c r="E113" s="510">
        <f t="shared" si="14"/>
        <v>442262.6</v>
      </c>
      <c r="F113" s="511">
        <f t="shared" si="15"/>
        <v>5487525.0577380992</v>
      </c>
      <c r="G113" s="511">
        <f t="shared" si="16"/>
        <v>5708656.3577380991</v>
      </c>
      <c r="H113" s="646">
        <f t="shared" si="17"/>
        <v>1115667.1962626502</v>
      </c>
      <c r="I113" s="573">
        <f t="shared" si="18"/>
        <v>1115667.1962626502</v>
      </c>
      <c r="J113" s="505">
        <f t="shared" si="11"/>
        <v>0</v>
      </c>
      <c r="K113" s="505"/>
      <c r="L113" s="513"/>
      <c r="M113" s="505">
        <f t="shared" si="19"/>
        <v>0</v>
      </c>
      <c r="N113" s="513"/>
      <c r="O113" s="505">
        <f t="shared" si="12"/>
        <v>0</v>
      </c>
      <c r="P113" s="505">
        <f t="shared" si="13"/>
        <v>0</v>
      </c>
      <c r="Q113" s="244"/>
      <c r="R113" s="244"/>
      <c r="S113" s="244"/>
      <c r="T113" s="244"/>
      <c r="U113" s="244"/>
    </row>
    <row r="114" spans="2:21">
      <c r="B114" s="145" t="str">
        <f t="shared" si="10"/>
        <v/>
      </c>
      <c r="C114" s="496">
        <f>IF(D94="","-",+C113+1)</f>
        <v>2031</v>
      </c>
      <c r="D114" s="350">
        <f>IF(F113+SUM(E$100:E113)=D$93,F113,D$93-SUM(E$100:E113))</f>
        <v>5487525.0577380992</v>
      </c>
      <c r="E114" s="510">
        <f t="shared" si="14"/>
        <v>442262.6</v>
      </c>
      <c r="F114" s="511">
        <f t="shared" si="15"/>
        <v>5045262.4577380996</v>
      </c>
      <c r="G114" s="511">
        <f t="shared" si="16"/>
        <v>5266393.7577380994</v>
      </c>
      <c r="H114" s="646">
        <f t="shared" si="17"/>
        <v>1063497.0096317152</v>
      </c>
      <c r="I114" s="573">
        <f t="shared" si="18"/>
        <v>1063497.0096317152</v>
      </c>
      <c r="J114" s="505">
        <f t="shared" si="11"/>
        <v>0</v>
      </c>
      <c r="K114" s="505"/>
      <c r="L114" s="513"/>
      <c r="M114" s="505">
        <f t="shared" si="19"/>
        <v>0</v>
      </c>
      <c r="N114" s="513"/>
      <c r="O114" s="505">
        <f t="shared" si="12"/>
        <v>0</v>
      </c>
      <c r="P114" s="505">
        <f t="shared" si="13"/>
        <v>0</v>
      </c>
      <c r="Q114" s="244"/>
      <c r="R114" s="244"/>
      <c r="S114" s="244"/>
      <c r="T114" s="244"/>
      <c r="U114" s="244"/>
    </row>
    <row r="115" spans="2:21">
      <c r="B115" s="145" t="str">
        <f t="shared" si="10"/>
        <v/>
      </c>
      <c r="C115" s="496">
        <f>IF(D94="","-",+C114+1)</f>
        <v>2032</v>
      </c>
      <c r="D115" s="350">
        <f>IF(F114+SUM(E$100:E114)=D$93,F114,D$93-SUM(E$100:E114))</f>
        <v>5045262.4577380996</v>
      </c>
      <c r="E115" s="510">
        <f t="shared" si="14"/>
        <v>442262.6</v>
      </c>
      <c r="F115" s="511">
        <f t="shared" si="15"/>
        <v>4602999.8577381</v>
      </c>
      <c r="G115" s="511">
        <f t="shared" si="16"/>
        <v>4824131.1577380998</v>
      </c>
      <c r="H115" s="646">
        <f t="shared" si="17"/>
        <v>1011326.8230007803</v>
      </c>
      <c r="I115" s="573">
        <f t="shared" si="18"/>
        <v>1011326.8230007803</v>
      </c>
      <c r="J115" s="505">
        <f t="shared" si="11"/>
        <v>0</v>
      </c>
      <c r="K115" s="505"/>
      <c r="L115" s="513"/>
      <c r="M115" s="505">
        <f t="shared" si="19"/>
        <v>0</v>
      </c>
      <c r="N115" s="513"/>
      <c r="O115" s="505">
        <f t="shared" si="12"/>
        <v>0</v>
      </c>
      <c r="P115" s="505">
        <f t="shared" si="13"/>
        <v>0</v>
      </c>
      <c r="Q115" s="244"/>
      <c r="R115" s="244"/>
      <c r="S115" s="244"/>
      <c r="T115" s="244"/>
      <c r="U115" s="244"/>
    </row>
    <row r="116" spans="2:21">
      <c r="B116" s="145" t="str">
        <f t="shared" si="10"/>
        <v/>
      </c>
      <c r="C116" s="496">
        <f>IF(D94="","-",+C115+1)</f>
        <v>2033</v>
      </c>
      <c r="D116" s="350">
        <f>IF(F115+SUM(E$100:E115)=D$93,F115,D$93-SUM(E$100:E115))</f>
        <v>4602999.8577381</v>
      </c>
      <c r="E116" s="510">
        <f t="shared" si="14"/>
        <v>442262.6</v>
      </c>
      <c r="F116" s="511">
        <f t="shared" si="15"/>
        <v>4160737.2577380999</v>
      </c>
      <c r="G116" s="511">
        <f t="shared" si="16"/>
        <v>4381868.5577381002</v>
      </c>
      <c r="H116" s="646">
        <f t="shared" si="17"/>
        <v>959156.63636984536</v>
      </c>
      <c r="I116" s="573">
        <f t="shared" si="18"/>
        <v>959156.63636984536</v>
      </c>
      <c r="J116" s="505">
        <f t="shared" si="11"/>
        <v>0</v>
      </c>
      <c r="K116" s="505"/>
      <c r="L116" s="513"/>
      <c r="M116" s="505">
        <f t="shared" si="19"/>
        <v>0</v>
      </c>
      <c r="N116" s="513"/>
      <c r="O116" s="505">
        <f t="shared" si="12"/>
        <v>0</v>
      </c>
      <c r="P116" s="505">
        <f t="shared" si="13"/>
        <v>0</v>
      </c>
      <c r="Q116" s="244"/>
      <c r="R116" s="244"/>
      <c r="S116" s="244"/>
      <c r="T116" s="244"/>
      <c r="U116" s="244"/>
    </row>
    <row r="117" spans="2:21">
      <c r="B117" s="145" t="str">
        <f t="shared" si="10"/>
        <v/>
      </c>
      <c r="C117" s="496">
        <f>IF(D94="","-",+C116+1)</f>
        <v>2034</v>
      </c>
      <c r="D117" s="350">
        <f>IF(F116+SUM(E$100:E116)=D$93,F116,D$93-SUM(E$100:E116))</f>
        <v>4160737.2577380999</v>
      </c>
      <c r="E117" s="510">
        <f t="shared" si="14"/>
        <v>442262.6</v>
      </c>
      <c r="F117" s="511">
        <f t="shared" si="15"/>
        <v>3718474.6577380998</v>
      </c>
      <c r="G117" s="511">
        <f t="shared" si="16"/>
        <v>3939605.9577380996</v>
      </c>
      <c r="H117" s="646">
        <f t="shared" si="17"/>
        <v>906986.44973891042</v>
      </c>
      <c r="I117" s="573">
        <f t="shared" si="18"/>
        <v>906986.44973891042</v>
      </c>
      <c r="J117" s="505">
        <f t="shared" si="11"/>
        <v>0</v>
      </c>
      <c r="K117" s="505"/>
      <c r="L117" s="513"/>
      <c r="M117" s="505">
        <f t="shared" si="19"/>
        <v>0</v>
      </c>
      <c r="N117" s="513"/>
      <c r="O117" s="505">
        <f t="shared" si="12"/>
        <v>0</v>
      </c>
      <c r="P117" s="505">
        <f t="shared" si="13"/>
        <v>0</v>
      </c>
      <c r="Q117" s="244"/>
      <c r="R117" s="244"/>
      <c r="S117" s="244"/>
      <c r="T117" s="244"/>
      <c r="U117" s="244"/>
    </row>
    <row r="118" spans="2:21">
      <c r="B118" s="145" t="str">
        <f t="shared" si="10"/>
        <v/>
      </c>
      <c r="C118" s="496">
        <f>IF(D94="","-",+C117+1)</f>
        <v>2035</v>
      </c>
      <c r="D118" s="350">
        <f>IF(F117+SUM(E$100:E117)=D$93,F117,D$93-SUM(E$100:E117))</f>
        <v>3718474.6577380998</v>
      </c>
      <c r="E118" s="510">
        <f t="shared" si="14"/>
        <v>442262.6</v>
      </c>
      <c r="F118" s="511">
        <f t="shared" si="15"/>
        <v>3276212.0577380997</v>
      </c>
      <c r="G118" s="511">
        <f t="shared" si="16"/>
        <v>3497343.3577381</v>
      </c>
      <c r="H118" s="646">
        <f t="shared" si="17"/>
        <v>854816.26310797548</v>
      </c>
      <c r="I118" s="573">
        <f t="shared" si="18"/>
        <v>854816.26310797548</v>
      </c>
      <c r="J118" s="505">
        <f t="shared" si="11"/>
        <v>0</v>
      </c>
      <c r="K118" s="505"/>
      <c r="L118" s="513"/>
      <c r="M118" s="505">
        <f t="shared" si="19"/>
        <v>0</v>
      </c>
      <c r="N118" s="513"/>
      <c r="O118" s="505">
        <f t="shared" si="12"/>
        <v>0</v>
      </c>
      <c r="P118" s="505">
        <f t="shared" si="13"/>
        <v>0</v>
      </c>
      <c r="Q118" s="244"/>
      <c r="R118" s="244"/>
      <c r="S118" s="244"/>
      <c r="T118" s="244"/>
      <c r="U118" s="244"/>
    </row>
    <row r="119" spans="2:21">
      <c r="B119" s="145" t="str">
        <f t="shared" si="10"/>
        <v/>
      </c>
      <c r="C119" s="496">
        <f>IF(D94="","-",+C118+1)</f>
        <v>2036</v>
      </c>
      <c r="D119" s="350">
        <f>IF(F118+SUM(E$100:E118)=D$93,F118,D$93-SUM(E$100:E118))</f>
        <v>3276212.0577380997</v>
      </c>
      <c r="E119" s="510">
        <f t="shared" si="14"/>
        <v>442262.6</v>
      </c>
      <c r="F119" s="511">
        <f t="shared" si="15"/>
        <v>2833949.4577380996</v>
      </c>
      <c r="G119" s="511">
        <f t="shared" si="16"/>
        <v>3055080.7577380994</v>
      </c>
      <c r="H119" s="646">
        <f t="shared" si="17"/>
        <v>802646.07647704054</v>
      </c>
      <c r="I119" s="573">
        <f t="shared" si="18"/>
        <v>802646.07647704054</v>
      </c>
      <c r="J119" s="505">
        <f t="shared" si="11"/>
        <v>0</v>
      </c>
      <c r="K119" s="505"/>
      <c r="L119" s="513"/>
      <c r="M119" s="505">
        <f t="shared" si="19"/>
        <v>0</v>
      </c>
      <c r="N119" s="513"/>
      <c r="O119" s="505">
        <f t="shared" si="12"/>
        <v>0</v>
      </c>
      <c r="P119" s="505">
        <f t="shared" si="13"/>
        <v>0</v>
      </c>
      <c r="Q119" s="244"/>
      <c r="R119" s="244"/>
      <c r="S119" s="244"/>
      <c r="T119" s="244"/>
      <c r="U119" s="244"/>
    </row>
    <row r="120" spans="2:21">
      <c r="B120" s="145" t="str">
        <f t="shared" si="10"/>
        <v/>
      </c>
      <c r="C120" s="496">
        <f>IF(D94="","-",+C119+1)</f>
        <v>2037</v>
      </c>
      <c r="D120" s="350">
        <f>IF(F119+SUM(E$100:E119)=D$93,F119,D$93-SUM(E$100:E119))</f>
        <v>2833949.4577380996</v>
      </c>
      <c r="E120" s="510">
        <f t="shared" si="14"/>
        <v>442262.6</v>
      </c>
      <c r="F120" s="511">
        <f t="shared" si="15"/>
        <v>2391686.8577380995</v>
      </c>
      <c r="G120" s="511">
        <f t="shared" si="16"/>
        <v>2612818.1577380998</v>
      </c>
      <c r="H120" s="646">
        <f t="shared" si="17"/>
        <v>750475.88984610559</v>
      </c>
      <c r="I120" s="573">
        <f t="shared" si="18"/>
        <v>750475.88984610559</v>
      </c>
      <c r="J120" s="505">
        <f t="shared" si="11"/>
        <v>0</v>
      </c>
      <c r="K120" s="505"/>
      <c r="L120" s="513"/>
      <c r="M120" s="505">
        <f t="shared" si="19"/>
        <v>0</v>
      </c>
      <c r="N120" s="513"/>
      <c r="O120" s="505">
        <f t="shared" si="12"/>
        <v>0</v>
      </c>
      <c r="P120" s="505">
        <f t="shared" si="13"/>
        <v>0</v>
      </c>
      <c r="Q120" s="244"/>
      <c r="R120" s="244"/>
      <c r="S120" s="244"/>
      <c r="T120" s="244"/>
      <c r="U120" s="244"/>
    </row>
    <row r="121" spans="2:21">
      <c r="B121" s="145" t="str">
        <f t="shared" si="10"/>
        <v/>
      </c>
      <c r="C121" s="496">
        <f>IF(D94="","-",+C120+1)</f>
        <v>2038</v>
      </c>
      <c r="D121" s="350">
        <f>IF(F120+SUM(E$100:E120)=D$93,F120,D$93-SUM(E$100:E120))</f>
        <v>2391686.8577380995</v>
      </c>
      <c r="E121" s="510">
        <f t="shared" si="14"/>
        <v>442262.6</v>
      </c>
      <c r="F121" s="511">
        <f t="shared" si="15"/>
        <v>1949424.2577380994</v>
      </c>
      <c r="G121" s="511">
        <f t="shared" si="16"/>
        <v>2170555.5577380992</v>
      </c>
      <c r="H121" s="646">
        <f t="shared" si="17"/>
        <v>698305.70321517065</v>
      </c>
      <c r="I121" s="573">
        <f t="shared" si="18"/>
        <v>698305.70321517065</v>
      </c>
      <c r="J121" s="505">
        <f t="shared" si="11"/>
        <v>0</v>
      </c>
      <c r="K121" s="505"/>
      <c r="L121" s="513"/>
      <c r="M121" s="505">
        <f t="shared" si="19"/>
        <v>0</v>
      </c>
      <c r="N121" s="513"/>
      <c r="O121" s="505">
        <f t="shared" si="12"/>
        <v>0</v>
      </c>
      <c r="P121" s="505">
        <f t="shared" si="13"/>
        <v>0</v>
      </c>
      <c r="Q121" s="244"/>
      <c r="R121" s="244"/>
      <c r="S121" s="244"/>
      <c r="T121" s="244"/>
      <c r="U121" s="244"/>
    </row>
    <row r="122" spans="2:21">
      <c r="B122" s="145" t="str">
        <f t="shared" si="10"/>
        <v/>
      </c>
      <c r="C122" s="496">
        <f>IF(D94="","-",+C121+1)</f>
        <v>2039</v>
      </c>
      <c r="D122" s="350">
        <f>IF(F121+SUM(E$100:E121)=D$93,F121,D$93-SUM(E$100:E121))</f>
        <v>1949424.2577380994</v>
      </c>
      <c r="E122" s="510">
        <f t="shared" si="14"/>
        <v>442262.6</v>
      </c>
      <c r="F122" s="511">
        <f t="shared" si="15"/>
        <v>1507161.6577380993</v>
      </c>
      <c r="G122" s="511">
        <f t="shared" si="16"/>
        <v>1728292.9577380994</v>
      </c>
      <c r="H122" s="646">
        <f t="shared" si="17"/>
        <v>646135.51658423571</v>
      </c>
      <c r="I122" s="573">
        <f t="shared" si="18"/>
        <v>646135.51658423571</v>
      </c>
      <c r="J122" s="505">
        <f t="shared" si="11"/>
        <v>0</v>
      </c>
      <c r="K122" s="505"/>
      <c r="L122" s="513"/>
      <c r="M122" s="505">
        <f t="shared" si="19"/>
        <v>0</v>
      </c>
      <c r="N122" s="513"/>
      <c r="O122" s="505">
        <f t="shared" si="12"/>
        <v>0</v>
      </c>
      <c r="P122" s="505">
        <f t="shared" si="13"/>
        <v>0</v>
      </c>
      <c r="Q122" s="244"/>
      <c r="R122" s="244"/>
      <c r="S122" s="244"/>
      <c r="T122" s="244"/>
      <c r="U122" s="244"/>
    </row>
    <row r="123" spans="2:21">
      <c r="B123" s="145" t="str">
        <f t="shared" si="10"/>
        <v/>
      </c>
      <c r="C123" s="496">
        <f>IF(D94="","-",+C122+1)</f>
        <v>2040</v>
      </c>
      <c r="D123" s="350">
        <f>IF(F122+SUM(E$100:E122)=D$93,F122,D$93-SUM(E$100:E122))</f>
        <v>1507161.6577380993</v>
      </c>
      <c r="E123" s="510">
        <f t="shared" si="14"/>
        <v>442262.6</v>
      </c>
      <c r="F123" s="511">
        <f t="shared" si="15"/>
        <v>1064899.0577380992</v>
      </c>
      <c r="G123" s="511">
        <f t="shared" si="16"/>
        <v>1286030.3577380993</v>
      </c>
      <c r="H123" s="646">
        <f t="shared" si="17"/>
        <v>593965.32995330077</v>
      </c>
      <c r="I123" s="573">
        <f t="shared" si="18"/>
        <v>593965.32995330077</v>
      </c>
      <c r="J123" s="505">
        <f t="shared" si="11"/>
        <v>0</v>
      </c>
      <c r="K123" s="505"/>
      <c r="L123" s="513"/>
      <c r="M123" s="505">
        <f t="shared" si="19"/>
        <v>0</v>
      </c>
      <c r="N123" s="513"/>
      <c r="O123" s="505">
        <f t="shared" si="12"/>
        <v>0</v>
      </c>
      <c r="P123" s="505">
        <f t="shared" si="13"/>
        <v>0</v>
      </c>
      <c r="Q123" s="244"/>
      <c r="R123" s="244"/>
      <c r="S123" s="244"/>
      <c r="T123" s="244"/>
      <c r="U123" s="244"/>
    </row>
    <row r="124" spans="2:21">
      <c r="B124" s="145" t="str">
        <f t="shared" si="10"/>
        <v/>
      </c>
      <c r="C124" s="496">
        <f>IF(D94="","-",+C123+1)</f>
        <v>2041</v>
      </c>
      <c r="D124" s="350">
        <f>IF(F123+SUM(E$100:E123)=D$93,F123,D$93-SUM(E$100:E123))</f>
        <v>1064899.0577380992</v>
      </c>
      <c r="E124" s="510">
        <f t="shared" si="14"/>
        <v>442262.6</v>
      </c>
      <c r="F124" s="511">
        <f t="shared" si="15"/>
        <v>622636.45773809927</v>
      </c>
      <c r="G124" s="511">
        <f t="shared" si="16"/>
        <v>843767.7577380992</v>
      </c>
      <c r="H124" s="646">
        <f t="shared" si="17"/>
        <v>541795.14332236582</v>
      </c>
      <c r="I124" s="573">
        <f t="shared" si="18"/>
        <v>541795.14332236582</v>
      </c>
      <c r="J124" s="505">
        <f t="shared" si="11"/>
        <v>0</v>
      </c>
      <c r="K124" s="505"/>
      <c r="L124" s="513"/>
      <c r="M124" s="505">
        <f t="shared" si="19"/>
        <v>0</v>
      </c>
      <c r="N124" s="513"/>
      <c r="O124" s="505">
        <f t="shared" si="12"/>
        <v>0</v>
      </c>
      <c r="P124" s="505">
        <f t="shared" si="13"/>
        <v>0</v>
      </c>
      <c r="Q124" s="244"/>
      <c r="R124" s="244"/>
      <c r="S124" s="244"/>
      <c r="T124" s="244"/>
      <c r="U124" s="244"/>
    </row>
    <row r="125" spans="2:21">
      <c r="B125" s="145" t="str">
        <f t="shared" si="10"/>
        <v/>
      </c>
      <c r="C125" s="496">
        <f>IF(D94="","-",+C124+1)</f>
        <v>2042</v>
      </c>
      <c r="D125" s="350">
        <f>IF(F124+SUM(E$100:E124)=D$93,F124,D$93-SUM(E$100:E124))</f>
        <v>622636.45773809927</v>
      </c>
      <c r="E125" s="510">
        <f t="shared" si="14"/>
        <v>442262.6</v>
      </c>
      <c r="F125" s="511">
        <f t="shared" si="15"/>
        <v>180373.85773809929</v>
      </c>
      <c r="G125" s="511">
        <f t="shared" si="16"/>
        <v>401505.15773809928</v>
      </c>
      <c r="H125" s="646">
        <f t="shared" si="17"/>
        <v>489624.95669143082</v>
      </c>
      <c r="I125" s="573">
        <f t="shared" si="18"/>
        <v>489624.95669143082</v>
      </c>
      <c r="J125" s="505">
        <f t="shared" si="11"/>
        <v>0</v>
      </c>
      <c r="K125" s="505"/>
      <c r="L125" s="513"/>
      <c r="M125" s="505">
        <f t="shared" si="19"/>
        <v>0</v>
      </c>
      <c r="N125" s="513"/>
      <c r="O125" s="505">
        <f t="shared" si="12"/>
        <v>0</v>
      </c>
      <c r="P125" s="505">
        <f t="shared" si="13"/>
        <v>0</v>
      </c>
      <c r="Q125" s="244"/>
      <c r="R125" s="244"/>
      <c r="S125" s="244"/>
      <c r="T125" s="244"/>
      <c r="U125" s="244"/>
    </row>
    <row r="126" spans="2:21">
      <c r="B126" s="145" t="str">
        <f t="shared" si="10"/>
        <v/>
      </c>
      <c r="C126" s="496">
        <f>IF(D94="","-",+C125+1)</f>
        <v>2043</v>
      </c>
      <c r="D126" s="350">
        <f>IF(F125+SUM(E$100:E125)=D$93,F125,D$93-SUM(E$100:E125))</f>
        <v>180373.85773809929</v>
      </c>
      <c r="E126" s="510">
        <f t="shared" si="14"/>
        <v>180373.85773809929</v>
      </c>
      <c r="F126" s="511">
        <f t="shared" si="15"/>
        <v>0</v>
      </c>
      <c r="G126" s="511">
        <f t="shared" si="16"/>
        <v>90186.928869049647</v>
      </c>
      <c r="H126" s="646">
        <f t="shared" si="17"/>
        <v>191012.48942608098</v>
      </c>
      <c r="I126" s="573">
        <f t="shared" si="18"/>
        <v>191012.48942608098</v>
      </c>
      <c r="J126" s="505">
        <f t="shared" si="11"/>
        <v>0</v>
      </c>
      <c r="K126" s="505"/>
      <c r="L126" s="513"/>
      <c r="M126" s="505">
        <f t="shared" si="19"/>
        <v>0</v>
      </c>
      <c r="N126" s="513"/>
      <c r="O126" s="505">
        <f t="shared" si="12"/>
        <v>0</v>
      </c>
      <c r="P126" s="505">
        <f t="shared" si="13"/>
        <v>0</v>
      </c>
      <c r="Q126" s="244"/>
      <c r="R126" s="244"/>
      <c r="S126" s="244"/>
      <c r="T126" s="244"/>
      <c r="U126" s="244"/>
    </row>
    <row r="127" spans="2:21">
      <c r="B127" s="145" t="str">
        <f t="shared" si="10"/>
        <v/>
      </c>
      <c r="C127" s="496">
        <f>IF(D94="","-",+C126+1)</f>
        <v>2044</v>
      </c>
      <c r="D127" s="350">
        <f>IF(F126+SUM(E$100:E126)=D$93,F126,D$93-SUM(E$100:E126))</f>
        <v>0</v>
      </c>
      <c r="E127" s="510">
        <f t="shared" si="14"/>
        <v>0</v>
      </c>
      <c r="F127" s="511">
        <f t="shared" si="15"/>
        <v>0</v>
      </c>
      <c r="G127" s="511">
        <f t="shared" si="16"/>
        <v>0</v>
      </c>
      <c r="H127" s="646">
        <f t="shared" si="17"/>
        <v>0</v>
      </c>
      <c r="I127" s="573">
        <f t="shared" si="18"/>
        <v>0</v>
      </c>
      <c r="J127" s="505">
        <f t="shared" si="11"/>
        <v>0</v>
      </c>
      <c r="K127" s="505"/>
      <c r="L127" s="513"/>
      <c r="M127" s="505">
        <f t="shared" si="19"/>
        <v>0</v>
      </c>
      <c r="N127" s="513"/>
      <c r="O127" s="505">
        <f t="shared" si="12"/>
        <v>0</v>
      </c>
      <c r="P127" s="505">
        <f t="shared" si="13"/>
        <v>0</v>
      </c>
      <c r="Q127" s="244"/>
      <c r="R127" s="244"/>
      <c r="S127" s="244"/>
      <c r="T127" s="244"/>
      <c r="U127" s="244"/>
    </row>
    <row r="128" spans="2:21">
      <c r="B128" s="145" t="str">
        <f t="shared" si="10"/>
        <v/>
      </c>
      <c r="C128" s="496">
        <f>IF(D94="","-",+C127+1)</f>
        <v>2045</v>
      </c>
      <c r="D128" s="350">
        <f>IF(F127+SUM(E$100:E127)=D$93,F127,D$93-SUM(E$100:E127))</f>
        <v>0</v>
      </c>
      <c r="E128" s="510">
        <f t="shared" si="14"/>
        <v>0</v>
      </c>
      <c r="F128" s="511">
        <f t="shared" si="15"/>
        <v>0</v>
      </c>
      <c r="G128" s="511">
        <f t="shared" si="16"/>
        <v>0</v>
      </c>
      <c r="H128" s="646">
        <f t="shared" si="17"/>
        <v>0</v>
      </c>
      <c r="I128" s="573">
        <f t="shared" si="18"/>
        <v>0</v>
      </c>
      <c r="J128" s="505">
        <f t="shared" si="11"/>
        <v>0</v>
      </c>
      <c r="K128" s="505"/>
      <c r="L128" s="513"/>
      <c r="M128" s="505">
        <f t="shared" si="19"/>
        <v>0</v>
      </c>
      <c r="N128" s="513"/>
      <c r="O128" s="505">
        <f t="shared" si="12"/>
        <v>0</v>
      </c>
      <c r="P128" s="505">
        <f t="shared" si="13"/>
        <v>0</v>
      </c>
      <c r="Q128" s="244"/>
      <c r="R128" s="244"/>
      <c r="S128" s="244"/>
      <c r="T128" s="244"/>
      <c r="U128" s="244"/>
    </row>
    <row r="129" spans="2:21">
      <c r="B129" s="145" t="str">
        <f t="shared" si="10"/>
        <v/>
      </c>
      <c r="C129" s="496">
        <f>IF(D94="","-",+C128+1)</f>
        <v>2046</v>
      </c>
      <c r="D129" s="350">
        <f>IF(F128+SUM(E$100:E128)=D$93,F128,D$93-SUM(E$100:E128))</f>
        <v>0</v>
      </c>
      <c r="E129" s="510">
        <f t="shared" si="14"/>
        <v>0</v>
      </c>
      <c r="F129" s="511">
        <f t="shared" si="15"/>
        <v>0</v>
      </c>
      <c r="G129" s="511">
        <f t="shared" si="16"/>
        <v>0</v>
      </c>
      <c r="H129" s="646">
        <f t="shared" si="17"/>
        <v>0</v>
      </c>
      <c r="I129" s="573">
        <f t="shared" si="18"/>
        <v>0</v>
      </c>
      <c r="J129" s="505">
        <f t="shared" si="11"/>
        <v>0</v>
      </c>
      <c r="K129" s="505"/>
      <c r="L129" s="513"/>
      <c r="M129" s="505">
        <f t="shared" si="19"/>
        <v>0</v>
      </c>
      <c r="N129" s="513"/>
      <c r="O129" s="505">
        <f t="shared" si="12"/>
        <v>0</v>
      </c>
      <c r="P129" s="505">
        <f t="shared" si="13"/>
        <v>0</v>
      </c>
      <c r="Q129" s="244"/>
      <c r="R129" s="244"/>
      <c r="S129" s="244"/>
      <c r="T129" s="244"/>
      <c r="U129" s="244"/>
    </row>
    <row r="130" spans="2:21">
      <c r="B130" s="145" t="str">
        <f t="shared" si="10"/>
        <v/>
      </c>
      <c r="C130" s="496">
        <f>IF(D94="","-",+C129+1)</f>
        <v>2047</v>
      </c>
      <c r="D130" s="350">
        <f>IF(F129+SUM(E$100:E129)=D$93,F129,D$93-SUM(E$100:E129))</f>
        <v>0</v>
      </c>
      <c r="E130" s="510">
        <f t="shared" si="14"/>
        <v>0</v>
      </c>
      <c r="F130" s="511">
        <f t="shared" si="15"/>
        <v>0</v>
      </c>
      <c r="G130" s="511">
        <f t="shared" si="16"/>
        <v>0</v>
      </c>
      <c r="H130" s="646">
        <f t="shared" si="17"/>
        <v>0</v>
      </c>
      <c r="I130" s="573">
        <f t="shared" si="18"/>
        <v>0</v>
      </c>
      <c r="J130" s="505">
        <f t="shared" si="11"/>
        <v>0</v>
      </c>
      <c r="K130" s="505"/>
      <c r="L130" s="513"/>
      <c r="M130" s="505">
        <f t="shared" si="19"/>
        <v>0</v>
      </c>
      <c r="N130" s="513"/>
      <c r="O130" s="505">
        <f t="shared" si="12"/>
        <v>0</v>
      </c>
      <c r="P130" s="505">
        <f t="shared" si="13"/>
        <v>0</v>
      </c>
      <c r="Q130" s="244"/>
      <c r="R130" s="244"/>
      <c r="S130" s="244"/>
      <c r="T130" s="244"/>
      <c r="U130" s="244"/>
    </row>
    <row r="131" spans="2:21">
      <c r="B131" s="145" t="str">
        <f t="shared" si="10"/>
        <v/>
      </c>
      <c r="C131" s="496">
        <f>IF(D94="","-",+C130+1)</f>
        <v>2048</v>
      </c>
      <c r="D131" s="350">
        <f>IF(F130+SUM(E$100:E130)=D$93,F130,D$93-SUM(E$100:E130))</f>
        <v>0</v>
      </c>
      <c r="E131" s="510">
        <f t="shared" si="14"/>
        <v>0</v>
      </c>
      <c r="F131" s="511">
        <f t="shared" si="15"/>
        <v>0</v>
      </c>
      <c r="G131" s="511">
        <f t="shared" si="16"/>
        <v>0</v>
      </c>
      <c r="H131" s="646">
        <f t="shared" si="17"/>
        <v>0</v>
      </c>
      <c r="I131" s="573">
        <f t="shared" si="18"/>
        <v>0</v>
      </c>
      <c r="J131" s="505">
        <f t="shared" si="11"/>
        <v>0</v>
      </c>
      <c r="K131" s="505"/>
      <c r="L131" s="513"/>
      <c r="M131" s="505">
        <f t="shared" si="19"/>
        <v>0</v>
      </c>
      <c r="N131" s="513"/>
      <c r="O131" s="505">
        <f t="shared" si="12"/>
        <v>0</v>
      </c>
      <c r="P131" s="505">
        <f t="shared" si="13"/>
        <v>0</v>
      </c>
      <c r="Q131" s="244"/>
      <c r="R131" s="244"/>
      <c r="S131" s="244"/>
      <c r="T131" s="244"/>
      <c r="U131" s="244"/>
    </row>
    <row r="132" spans="2:21">
      <c r="B132" s="145" t="str">
        <f t="shared" si="10"/>
        <v/>
      </c>
      <c r="C132" s="496">
        <f>IF(D94="","-",+C131+1)</f>
        <v>2049</v>
      </c>
      <c r="D132" s="350">
        <f>IF(F131+SUM(E$100:E131)=D$93,F131,D$93-SUM(E$100:E131))</f>
        <v>0</v>
      </c>
      <c r="E132" s="510">
        <f t="shared" si="14"/>
        <v>0</v>
      </c>
      <c r="F132" s="511">
        <f t="shared" si="15"/>
        <v>0</v>
      </c>
      <c r="G132" s="511">
        <f t="shared" si="16"/>
        <v>0</v>
      </c>
      <c r="H132" s="646">
        <f t="shared" si="17"/>
        <v>0</v>
      </c>
      <c r="I132" s="573">
        <f t="shared" si="18"/>
        <v>0</v>
      </c>
      <c r="J132" s="505">
        <f t="shared" si="11"/>
        <v>0</v>
      </c>
      <c r="K132" s="505"/>
      <c r="L132" s="513"/>
      <c r="M132" s="505">
        <f t="shared" si="19"/>
        <v>0</v>
      </c>
      <c r="N132" s="513"/>
      <c r="O132" s="505">
        <f t="shared" si="12"/>
        <v>0</v>
      </c>
      <c r="P132" s="505">
        <f t="shared" si="13"/>
        <v>0</v>
      </c>
      <c r="Q132" s="244"/>
      <c r="R132" s="244"/>
      <c r="S132" s="244"/>
      <c r="T132" s="244"/>
      <c r="U132" s="244"/>
    </row>
    <row r="133" spans="2:21">
      <c r="B133" s="145" t="str">
        <f t="shared" si="10"/>
        <v/>
      </c>
      <c r="C133" s="496">
        <f>IF(D94="","-",+C132+1)</f>
        <v>2050</v>
      </c>
      <c r="D133" s="350">
        <f>IF(F132+SUM(E$100:E132)=D$93,F132,D$93-SUM(E$100:E132))</f>
        <v>0</v>
      </c>
      <c r="E133" s="510">
        <f t="shared" si="14"/>
        <v>0</v>
      </c>
      <c r="F133" s="511">
        <f t="shared" si="15"/>
        <v>0</v>
      </c>
      <c r="G133" s="511">
        <f t="shared" si="16"/>
        <v>0</v>
      </c>
      <c r="H133" s="646">
        <f t="shared" si="17"/>
        <v>0</v>
      </c>
      <c r="I133" s="573">
        <f t="shared" si="18"/>
        <v>0</v>
      </c>
      <c r="J133" s="505">
        <f t="shared" si="11"/>
        <v>0</v>
      </c>
      <c r="K133" s="505"/>
      <c r="L133" s="513"/>
      <c r="M133" s="505">
        <f t="shared" si="19"/>
        <v>0</v>
      </c>
      <c r="N133" s="513"/>
      <c r="O133" s="505">
        <f t="shared" si="12"/>
        <v>0</v>
      </c>
      <c r="P133" s="505">
        <f t="shared" si="13"/>
        <v>0</v>
      </c>
      <c r="Q133" s="244"/>
      <c r="R133" s="244"/>
      <c r="S133" s="244"/>
      <c r="T133" s="244"/>
      <c r="U133" s="244"/>
    </row>
    <row r="134" spans="2:21">
      <c r="B134" s="145" t="str">
        <f t="shared" si="10"/>
        <v/>
      </c>
      <c r="C134" s="496">
        <f>IF(D94="","-",+C133+1)</f>
        <v>2051</v>
      </c>
      <c r="D134" s="350">
        <f>IF(F133+SUM(E$100:E133)=D$93,F133,D$93-SUM(E$100:E133))</f>
        <v>0</v>
      </c>
      <c r="E134" s="510">
        <f t="shared" si="14"/>
        <v>0</v>
      </c>
      <c r="F134" s="511">
        <f t="shared" si="15"/>
        <v>0</v>
      </c>
      <c r="G134" s="511">
        <f t="shared" si="16"/>
        <v>0</v>
      </c>
      <c r="H134" s="646">
        <f t="shared" si="17"/>
        <v>0</v>
      </c>
      <c r="I134" s="573">
        <f t="shared" si="18"/>
        <v>0</v>
      </c>
      <c r="J134" s="505">
        <f t="shared" si="11"/>
        <v>0</v>
      </c>
      <c r="K134" s="505"/>
      <c r="L134" s="513"/>
      <c r="M134" s="505">
        <f t="shared" si="19"/>
        <v>0</v>
      </c>
      <c r="N134" s="513"/>
      <c r="O134" s="505">
        <f t="shared" si="12"/>
        <v>0</v>
      </c>
      <c r="P134" s="505">
        <f t="shared" si="13"/>
        <v>0</v>
      </c>
      <c r="Q134" s="244"/>
      <c r="R134" s="244"/>
      <c r="S134" s="244"/>
      <c r="T134" s="244"/>
      <c r="U134" s="244"/>
    </row>
    <row r="135" spans="2:21">
      <c r="B135" s="145" t="str">
        <f t="shared" si="10"/>
        <v/>
      </c>
      <c r="C135" s="496">
        <f>IF(D94="","-",+C134+1)</f>
        <v>2052</v>
      </c>
      <c r="D135" s="350">
        <f>IF(F134+SUM(E$100:E134)=D$93,F134,D$93-SUM(E$100:E134))</f>
        <v>0</v>
      </c>
      <c r="E135" s="510">
        <f t="shared" ref="E135:E155" si="20">IF(+J$97&lt;F134,J$97,D135)</f>
        <v>0</v>
      </c>
      <c r="F135" s="511">
        <f t="shared" si="15"/>
        <v>0</v>
      </c>
      <c r="G135" s="511">
        <f t="shared" si="16"/>
        <v>0</v>
      </c>
      <c r="H135" s="646">
        <f t="shared" si="17"/>
        <v>0</v>
      </c>
      <c r="I135" s="573">
        <f t="shared" si="18"/>
        <v>0</v>
      </c>
      <c r="J135" s="505">
        <f t="shared" si="11"/>
        <v>0</v>
      </c>
      <c r="K135" s="505"/>
      <c r="L135" s="513"/>
      <c r="M135" s="505">
        <f t="shared" si="19"/>
        <v>0</v>
      </c>
      <c r="N135" s="513"/>
      <c r="O135" s="505">
        <f t="shared" si="12"/>
        <v>0</v>
      </c>
      <c r="P135" s="505">
        <f t="shared" si="13"/>
        <v>0</v>
      </c>
      <c r="Q135" s="244"/>
      <c r="R135" s="244"/>
      <c r="S135" s="244"/>
      <c r="T135" s="244"/>
      <c r="U135" s="244"/>
    </row>
    <row r="136" spans="2:21">
      <c r="B136" s="145" t="str">
        <f t="shared" si="10"/>
        <v/>
      </c>
      <c r="C136" s="496">
        <f>IF(D94="","-",+C135+1)</f>
        <v>2053</v>
      </c>
      <c r="D136" s="350">
        <f>IF(F135+SUM(E$100:E135)=D$93,F135,D$93-SUM(E$100:E135))</f>
        <v>0</v>
      </c>
      <c r="E136" s="510">
        <f t="shared" si="20"/>
        <v>0</v>
      </c>
      <c r="F136" s="511">
        <f t="shared" si="15"/>
        <v>0</v>
      </c>
      <c r="G136" s="511">
        <f t="shared" si="16"/>
        <v>0</v>
      </c>
      <c r="H136" s="646">
        <f t="shared" si="17"/>
        <v>0</v>
      </c>
      <c r="I136" s="573">
        <f t="shared" si="18"/>
        <v>0</v>
      </c>
      <c r="J136" s="505">
        <f t="shared" si="11"/>
        <v>0</v>
      </c>
      <c r="K136" s="505"/>
      <c r="L136" s="513"/>
      <c r="M136" s="505">
        <f t="shared" si="19"/>
        <v>0</v>
      </c>
      <c r="N136" s="513"/>
      <c r="O136" s="505">
        <f t="shared" si="12"/>
        <v>0</v>
      </c>
      <c r="P136" s="505">
        <f t="shared" si="13"/>
        <v>0</v>
      </c>
      <c r="Q136" s="244"/>
      <c r="R136" s="244"/>
      <c r="S136" s="244"/>
      <c r="T136" s="244"/>
      <c r="U136" s="244"/>
    </row>
    <row r="137" spans="2:21">
      <c r="B137" s="145" t="str">
        <f t="shared" si="10"/>
        <v/>
      </c>
      <c r="C137" s="496">
        <f>IF(D94="","-",+C136+1)</f>
        <v>2054</v>
      </c>
      <c r="D137" s="350">
        <f>IF(F136+SUM(E$100:E136)=D$93,F136,D$93-SUM(E$100:E136))</f>
        <v>0</v>
      </c>
      <c r="E137" s="510">
        <f t="shared" si="20"/>
        <v>0</v>
      </c>
      <c r="F137" s="511">
        <f t="shared" si="15"/>
        <v>0</v>
      </c>
      <c r="G137" s="511">
        <f t="shared" si="16"/>
        <v>0</v>
      </c>
      <c r="H137" s="646">
        <f t="shared" si="17"/>
        <v>0</v>
      </c>
      <c r="I137" s="573">
        <f t="shared" si="18"/>
        <v>0</v>
      </c>
      <c r="J137" s="505">
        <f t="shared" si="11"/>
        <v>0</v>
      </c>
      <c r="K137" s="505"/>
      <c r="L137" s="513"/>
      <c r="M137" s="505">
        <f t="shared" si="19"/>
        <v>0</v>
      </c>
      <c r="N137" s="513"/>
      <c r="O137" s="505">
        <f t="shared" si="12"/>
        <v>0</v>
      </c>
      <c r="P137" s="505">
        <f t="shared" si="13"/>
        <v>0</v>
      </c>
      <c r="Q137" s="244"/>
      <c r="R137" s="244"/>
      <c r="S137" s="244"/>
      <c r="T137" s="244"/>
      <c r="U137" s="244"/>
    </row>
    <row r="138" spans="2:21">
      <c r="B138" s="145" t="str">
        <f t="shared" si="10"/>
        <v/>
      </c>
      <c r="C138" s="496">
        <f>IF(D94="","-",+C137+1)</f>
        <v>2055</v>
      </c>
      <c r="D138" s="350">
        <f>IF(F137+SUM(E$100:E137)=D$93,F137,D$93-SUM(E$100:E137))</f>
        <v>0</v>
      </c>
      <c r="E138" s="510">
        <f t="shared" si="20"/>
        <v>0</v>
      </c>
      <c r="F138" s="511">
        <f t="shared" si="15"/>
        <v>0</v>
      </c>
      <c r="G138" s="511">
        <f t="shared" si="16"/>
        <v>0</v>
      </c>
      <c r="H138" s="646">
        <f t="shared" si="17"/>
        <v>0</v>
      </c>
      <c r="I138" s="573">
        <f t="shared" si="18"/>
        <v>0</v>
      </c>
      <c r="J138" s="505">
        <f t="shared" si="11"/>
        <v>0</v>
      </c>
      <c r="K138" s="505"/>
      <c r="L138" s="513"/>
      <c r="M138" s="505">
        <f t="shared" si="19"/>
        <v>0</v>
      </c>
      <c r="N138" s="513"/>
      <c r="O138" s="505">
        <f t="shared" si="12"/>
        <v>0</v>
      </c>
      <c r="P138" s="505">
        <f t="shared" si="13"/>
        <v>0</v>
      </c>
      <c r="Q138" s="244"/>
      <c r="R138" s="244"/>
      <c r="S138" s="244"/>
      <c r="T138" s="244"/>
      <c r="U138" s="244"/>
    </row>
    <row r="139" spans="2:21">
      <c r="B139" s="145" t="str">
        <f t="shared" si="10"/>
        <v/>
      </c>
      <c r="C139" s="496">
        <f>IF(D94="","-",+C138+1)</f>
        <v>2056</v>
      </c>
      <c r="D139" s="350">
        <f>IF(F138+SUM(E$100:E138)=D$93,F138,D$93-SUM(E$100:E138))</f>
        <v>0</v>
      </c>
      <c r="E139" s="510">
        <f t="shared" si="20"/>
        <v>0</v>
      </c>
      <c r="F139" s="511">
        <f t="shared" si="15"/>
        <v>0</v>
      </c>
      <c r="G139" s="511">
        <f t="shared" si="16"/>
        <v>0</v>
      </c>
      <c r="H139" s="646">
        <f t="shared" si="17"/>
        <v>0</v>
      </c>
      <c r="I139" s="573">
        <f t="shared" si="18"/>
        <v>0</v>
      </c>
      <c r="J139" s="505">
        <f t="shared" si="11"/>
        <v>0</v>
      </c>
      <c r="K139" s="505"/>
      <c r="L139" s="513"/>
      <c r="M139" s="505">
        <f t="shared" si="19"/>
        <v>0</v>
      </c>
      <c r="N139" s="513"/>
      <c r="O139" s="505">
        <f t="shared" si="12"/>
        <v>0</v>
      </c>
      <c r="P139" s="505">
        <f t="shared" si="13"/>
        <v>0</v>
      </c>
      <c r="Q139" s="244"/>
      <c r="R139" s="244"/>
      <c r="S139" s="244"/>
      <c r="T139" s="244"/>
      <c r="U139" s="244"/>
    </row>
    <row r="140" spans="2:21">
      <c r="B140" s="145" t="str">
        <f t="shared" si="10"/>
        <v/>
      </c>
      <c r="C140" s="496">
        <f>IF(D94="","-",+C139+1)</f>
        <v>2057</v>
      </c>
      <c r="D140" s="350">
        <f>IF(F139+SUM(E$100:E139)=D$93,F139,D$93-SUM(E$100:E139))</f>
        <v>0</v>
      </c>
      <c r="E140" s="510">
        <f t="shared" si="20"/>
        <v>0</v>
      </c>
      <c r="F140" s="511">
        <f t="shared" si="15"/>
        <v>0</v>
      </c>
      <c r="G140" s="511">
        <f t="shared" si="16"/>
        <v>0</v>
      </c>
      <c r="H140" s="646">
        <f t="shared" si="17"/>
        <v>0</v>
      </c>
      <c r="I140" s="573">
        <f t="shared" si="18"/>
        <v>0</v>
      </c>
      <c r="J140" s="505">
        <f t="shared" si="11"/>
        <v>0</v>
      </c>
      <c r="K140" s="505"/>
      <c r="L140" s="513"/>
      <c r="M140" s="505">
        <f t="shared" si="19"/>
        <v>0</v>
      </c>
      <c r="N140" s="513"/>
      <c r="O140" s="505">
        <f t="shared" si="12"/>
        <v>0</v>
      </c>
      <c r="P140" s="505">
        <f t="shared" si="13"/>
        <v>0</v>
      </c>
      <c r="Q140" s="244"/>
      <c r="R140" s="244"/>
      <c r="S140" s="244"/>
      <c r="T140" s="244"/>
      <c r="U140" s="244"/>
    </row>
    <row r="141" spans="2:21">
      <c r="B141" s="145" t="str">
        <f t="shared" si="10"/>
        <v/>
      </c>
      <c r="C141" s="496">
        <f>IF(D94="","-",+C140+1)</f>
        <v>2058</v>
      </c>
      <c r="D141" s="350">
        <f>IF(F140+SUM(E$100:E140)=D$93,F140,D$93-SUM(E$100:E140))</f>
        <v>0</v>
      </c>
      <c r="E141" s="510">
        <f t="shared" si="20"/>
        <v>0</v>
      </c>
      <c r="F141" s="511">
        <f t="shared" si="15"/>
        <v>0</v>
      </c>
      <c r="G141" s="511">
        <f t="shared" si="16"/>
        <v>0</v>
      </c>
      <c r="H141" s="646">
        <f t="shared" si="17"/>
        <v>0</v>
      </c>
      <c r="I141" s="573">
        <f t="shared" si="18"/>
        <v>0</v>
      </c>
      <c r="J141" s="505">
        <f t="shared" si="11"/>
        <v>0</v>
      </c>
      <c r="K141" s="505"/>
      <c r="L141" s="513"/>
      <c r="M141" s="505">
        <f t="shared" si="19"/>
        <v>0</v>
      </c>
      <c r="N141" s="513"/>
      <c r="O141" s="505">
        <f t="shared" si="12"/>
        <v>0</v>
      </c>
      <c r="P141" s="505">
        <f t="shared" si="13"/>
        <v>0</v>
      </c>
      <c r="Q141" s="244"/>
      <c r="R141" s="244"/>
      <c r="S141" s="244"/>
      <c r="T141" s="244"/>
      <c r="U141" s="244"/>
    </row>
    <row r="142" spans="2:21">
      <c r="B142" s="145" t="str">
        <f t="shared" si="10"/>
        <v/>
      </c>
      <c r="C142" s="496">
        <f>IF(D94="","-",+C141+1)</f>
        <v>2059</v>
      </c>
      <c r="D142" s="350">
        <f>IF(F141+SUM(E$100:E141)=D$93,F141,D$93-SUM(E$100:E141))</f>
        <v>0</v>
      </c>
      <c r="E142" s="510">
        <f t="shared" si="20"/>
        <v>0</v>
      </c>
      <c r="F142" s="511">
        <f t="shared" si="15"/>
        <v>0</v>
      </c>
      <c r="G142" s="511">
        <f t="shared" si="16"/>
        <v>0</v>
      </c>
      <c r="H142" s="646">
        <f t="shared" si="17"/>
        <v>0</v>
      </c>
      <c r="I142" s="573">
        <f t="shared" si="18"/>
        <v>0</v>
      </c>
      <c r="J142" s="505">
        <f t="shared" si="11"/>
        <v>0</v>
      </c>
      <c r="K142" s="505"/>
      <c r="L142" s="513"/>
      <c r="M142" s="505">
        <f t="shared" si="19"/>
        <v>0</v>
      </c>
      <c r="N142" s="513"/>
      <c r="O142" s="505">
        <f t="shared" si="12"/>
        <v>0</v>
      </c>
      <c r="P142" s="505">
        <f t="shared" si="13"/>
        <v>0</v>
      </c>
      <c r="Q142" s="244"/>
      <c r="R142" s="244"/>
      <c r="S142" s="244"/>
      <c r="T142" s="244"/>
      <c r="U142" s="244"/>
    </row>
    <row r="143" spans="2:21">
      <c r="B143" s="145" t="str">
        <f t="shared" si="10"/>
        <v/>
      </c>
      <c r="C143" s="496">
        <f>IF(D94="","-",+C142+1)</f>
        <v>2060</v>
      </c>
      <c r="D143" s="350">
        <f>IF(F142+SUM(E$100:E142)=D$93,F142,D$93-SUM(E$100:E142))</f>
        <v>0</v>
      </c>
      <c r="E143" s="510">
        <f t="shared" si="20"/>
        <v>0</v>
      </c>
      <c r="F143" s="511">
        <f t="shared" si="15"/>
        <v>0</v>
      </c>
      <c r="G143" s="511">
        <f t="shared" si="16"/>
        <v>0</v>
      </c>
      <c r="H143" s="646">
        <f t="shared" si="17"/>
        <v>0</v>
      </c>
      <c r="I143" s="573">
        <f t="shared" si="18"/>
        <v>0</v>
      </c>
      <c r="J143" s="505">
        <f t="shared" si="11"/>
        <v>0</v>
      </c>
      <c r="K143" s="505"/>
      <c r="L143" s="513"/>
      <c r="M143" s="505">
        <f t="shared" si="19"/>
        <v>0</v>
      </c>
      <c r="N143" s="513"/>
      <c r="O143" s="505">
        <f t="shared" si="12"/>
        <v>0</v>
      </c>
      <c r="P143" s="505">
        <f t="shared" si="13"/>
        <v>0</v>
      </c>
      <c r="Q143" s="244"/>
      <c r="R143" s="244"/>
      <c r="S143" s="244"/>
      <c r="T143" s="244"/>
      <c r="U143" s="244"/>
    </row>
    <row r="144" spans="2:21">
      <c r="B144" s="145" t="str">
        <f t="shared" si="10"/>
        <v/>
      </c>
      <c r="C144" s="496">
        <f>IF(D94="","-",+C143+1)</f>
        <v>2061</v>
      </c>
      <c r="D144" s="350">
        <f>IF(F143+SUM(E$100:E143)=D$93,F143,D$93-SUM(E$100:E143))</f>
        <v>0</v>
      </c>
      <c r="E144" s="510">
        <f t="shared" si="20"/>
        <v>0</v>
      </c>
      <c r="F144" s="511">
        <f t="shared" si="15"/>
        <v>0</v>
      </c>
      <c r="G144" s="511">
        <f t="shared" si="16"/>
        <v>0</v>
      </c>
      <c r="H144" s="646">
        <f t="shared" si="17"/>
        <v>0</v>
      </c>
      <c r="I144" s="573">
        <f t="shared" si="18"/>
        <v>0</v>
      </c>
      <c r="J144" s="505">
        <f t="shared" si="11"/>
        <v>0</v>
      </c>
      <c r="K144" s="505"/>
      <c r="L144" s="513"/>
      <c r="M144" s="505">
        <f t="shared" si="19"/>
        <v>0</v>
      </c>
      <c r="N144" s="513"/>
      <c r="O144" s="505">
        <f t="shared" si="12"/>
        <v>0</v>
      </c>
      <c r="P144" s="505">
        <f t="shared" si="13"/>
        <v>0</v>
      </c>
      <c r="Q144" s="244"/>
      <c r="R144" s="244"/>
      <c r="S144" s="244"/>
      <c r="T144" s="244"/>
      <c r="U144" s="244"/>
    </row>
    <row r="145" spans="2:21">
      <c r="B145" s="145" t="str">
        <f t="shared" si="10"/>
        <v/>
      </c>
      <c r="C145" s="496">
        <f>IF(D94="","-",+C144+1)</f>
        <v>2062</v>
      </c>
      <c r="D145" s="350">
        <f>IF(F144+SUM(E$100:E144)=D$93,F144,D$93-SUM(E$100:E144))</f>
        <v>0</v>
      </c>
      <c r="E145" s="510">
        <f t="shared" si="20"/>
        <v>0</v>
      </c>
      <c r="F145" s="511">
        <f t="shared" si="15"/>
        <v>0</v>
      </c>
      <c r="G145" s="511">
        <f t="shared" si="16"/>
        <v>0</v>
      </c>
      <c r="H145" s="646">
        <f t="shared" si="17"/>
        <v>0</v>
      </c>
      <c r="I145" s="573">
        <f t="shared" si="18"/>
        <v>0</v>
      </c>
      <c r="J145" s="505">
        <f t="shared" si="11"/>
        <v>0</v>
      </c>
      <c r="K145" s="505"/>
      <c r="L145" s="513"/>
      <c r="M145" s="505">
        <f t="shared" si="19"/>
        <v>0</v>
      </c>
      <c r="N145" s="513"/>
      <c r="O145" s="505">
        <f t="shared" si="12"/>
        <v>0</v>
      </c>
      <c r="P145" s="505">
        <f t="shared" si="13"/>
        <v>0</v>
      </c>
      <c r="Q145" s="244"/>
      <c r="R145" s="244"/>
      <c r="S145" s="244"/>
      <c r="T145" s="244"/>
      <c r="U145" s="244"/>
    </row>
    <row r="146" spans="2:21">
      <c r="B146" s="145" t="str">
        <f t="shared" si="10"/>
        <v/>
      </c>
      <c r="C146" s="496">
        <f>IF(D94="","-",+C145+1)</f>
        <v>2063</v>
      </c>
      <c r="D146" s="350">
        <f>IF(F145+SUM(E$100:E145)=D$93,F145,D$93-SUM(E$100:E145))</f>
        <v>0</v>
      </c>
      <c r="E146" s="510">
        <f t="shared" si="20"/>
        <v>0</v>
      </c>
      <c r="F146" s="511">
        <f t="shared" si="15"/>
        <v>0</v>
      </c>
      <c r="G146" s="511">
        <f t="shared" si="16"/>
        <v>0</v>
      </c>
      <c r="H146" s="646">
        <f t="shared" si="17"/>
        <v>0</v>
      </c>
      <c r="I146" s="573">
        <f t="shared" si="18"/>
        <v>0</v>
      </c>
      <c r="J146" s="505">
        <f t="shared" si="11"/>
        <v>0</v>
      </c>
      <c r="K146" s="505"/>
      <c r="L146" s="513"/>
      <c r="M146" s="505">
        <f t="shared" si="19"/>
        <v>0</v>
      </c>
      <c r="N146" s="513"/>
      <c r="O146" s="505">
        <f t="shared" si="12"/>
        <v>0</v>
      </c>
      <c r="P146" s="505">
        <f t="shared" si="13"/>
        <v>0</v>
      </c>
      <c r="Q146" s="244"/>
      <c r="R146" s="244"/>
      <c r="S146" s="244"/>
      <c r="T146" s="244"/>
      <c r="U146" s="244"/>
    </row>
    <row r="147" spans="2:21">
      <c r="B147" s="145" t="str">
        <f t="shared" si="10"/>
        <v/>
      </c>
      <c r="C147" s="496">
        <f>IF(D94="","-",+C146+1)</f>
        <v>2064</v>
      </c>
      <c r="D147" s="350">
        <f>IF(F146+SUM(E$100:E146)=D$93,F146,D$93-SUM(E$100:E146))</f>
        <v>0</v>
      </c>
      <c r="E147" s="510">
        <f t="shared" si="20"/>
        <v>0</v>
      </c>
      <c r="F147" s="511">
        <f t="shared" si="15"/>
        <v>0</v>
      </c>
      <c r="G147" s="511">
        <f t="shared" si="16"/>
        <v>0</v>
      </c>
      <c r="H147" s="646">
        <f t="shared" si="17"/>
        <v>0</v>
      </c>
      <c r="I147" s="573">
        <f t="shared" si="18"/>
        <v>0</v>
      </c>
      <c r="J147" s="505">
        <f t="shared" si="11"/>
        <v>0</v>
      </c>
      <c r="K147" s="505"/>
      <c r="L147" s="513"/>
      <c r="M147" s="505">
        <f t="shared" si="19"/>
        <v>0</v>
      </c>
      <c r="N147" s="513"/>
      <c r="O147" s="505">
        <f t="shared" si="12"/>
        <v>0</v>
      </c>
      <c r="P147" s="505">
        <f t="shared" si="13"/>
        <v>0</v>
      </c>
      <c r="Q147" s="244"/>
      <c r="R147" s="244"/>
      <c r="S147" s="244"/>
      <c r="T147" s="244"/>
      <c r="U147" s="244"/>
    </row>
    <row r="148" spans="2:21">
      <c r="B148" s="145" t="str">
        <f t="shared" si="10"/>
        <v/>
      </c>
      <c r="C148" s="496">
        <f>IF(D94="","-",+C147+1)</f>
        <v>2065</v>
      </c>
      <c r="D148" s="350">
        <f>IF(F147+SUM(E$100:E147)=D$93,F147,D$93-SUM(E$100:E147))</f>
        <v>0</v>
      </c>
      <c r="E148" s="510">
        <f t="shared" si="20"/>
        <v>0</v>
      </c>
      <c r="F148" s="511">
        <f t="shared" si="15"/>
        <v>0</v>
      </c>
      <c r="G148" s="511">
        <f t="shared" si="16"/>
        <v>0</v>
      </c>
      <c r="H148" s="646">
        <f t="shared" si="17"/>
        <v>0</v>
      </c>
      <c r="I148" s="573">
        <f t="shared" si="18"/>
        <v>0</v>
      </c>
      <c r="J148" s="505">
        <f t="shared" si="11"/>
        <v>0</v>
      </c>
      <c r="K148" s="505"/>
      <c r="L148" s="513"/>
      <c r="M148" s="505">
        <f t="shared" si="19"/>
        <v>0</v>
      </c>
      <c r="N148" s="513"/>
      <c r="O148" s="505">
        <f t="shared" si="12"/>
        <v>0</v>
      </c>
      <c r="P148" s="505">
        <f t="shared" si="13"/>
        <v>0</v>
      </c>
      <c r="Q148" s="244"/>
      <c r="R148" s="244"/>
      <c r="S148" s="244"/>
      <c r="T148" s="244"/>
      <c r="U148" s="244"/>
    </row>
    <row r="149" spans="2:21">
      <c r="B149" s="145" t="str">
        <f t="shared" si="10"/>
        <v/>
      </c>
      <c r="C149" s="496">
        <f>IF(D94="","-",+C148+1)</f>
        <v>2066</v>
      </c>
      <c r="D149" s="350">
        <f>IF(F148+SUM(E$100:E148)=D$93,F148,D$93-SUM(E$100:E148))</f>
        <v>0</v>
      </c>
      <c r="E149" s="510">
        <f t="shared" si="20"/>
        <v>0</v>
      </c>
      <c r="F149" s="511">
        <f t="shared" si="15"/>
        <v>0</v>
      </c>
      <c r="G149" s="511">
        <f t="shared" si="16"/>
        <v>0</v>
      </c>
      <c r="H149" s="646">
        <f t="shared" si="17"/>
        <v>0</v>
      </c>
      <c r="I149" s="573">
        <f t="shared" si="18"/>
        <v>0</v>
      </c>
      <c r="J149" s="505">
        <f t="shared" si="11"/>
        <v>0</v>
      </c>
      <c r="K149" s="505"/>
      <c r="L149" s="513"/>
      <c r="M149" s="505">
        <f t="shared" si="19"/>
        <v>0</v>
      </c>
      <c r="N149" s="513"/>
      <c r="O149" s="505">
        <f t="shared" si="12"/>
        <v>0</v>
      </c>
      <c r="P149" s="505">
        <f t="shared" si="13"/>
        <v>0</v>
      </c>
      <c r="Q149" s="244"/>
      <c r="R149" s="244"/>
      <c r="S149" s="244"/>
      <c r="T149" s="244"/>
      <c r="U149" s="244"/>
    </row>
    <row r="150" spans="2:21">
      <c r="B150" s="145" t="str">
        <f t="shared" si="10"/>
        <v/>
      </c>
      <c r="C150" s="496">
        <f>IF(D94="","-",+C149+1)</f>
        <v>2067</v>
      </c>
      <c r="D150" s="350">
        <f>IF(F149+SUM(E$100:E149)=D$93,F149,D$93-SUM(E$100:E149))</f>
        <v>0</v>
      </c>
      <c r="E150" s="510">
        <f t="shared" si="20"/>
        <v>0</v>
      </c>
      <c r="F150" s="511">
        <f t="shared" si="15"/>
        <v>0</v>
      </c>
      <c r="G150" s="511">
        <f t="shared" si="16"/>
        <v>0</v>
      </c>
      <c r="H150" s="646">
        <f t="shared" si="17"/>
        <v>0</v>
      </c>
      <c r="I150" s="573">
        <f t="shared" si="18"/>
        <v>0</v>
      </c>
      <c r="J150" s="505">
        <f t="shared" si="11"/>
        <v>0</v>
      </c>
      <c r="K150" s="505"/>
      <c r="L150" s="513"/>
      <c r="M150" s="505">
        <f t="shared" si="19"/>
        <v>0</v>
      </c>
      <c r="N150" s="513"/>
      <c r="O150" s="505">
        <f t="shared" si="12"/>
        <v>0</v>
      </c>
      <c r="P150" s="505">
        <f t="shared" si="13"/>
        <v>0</v>
      </c>
      <c r="Q150" s="244"/>
      <c r="R150" s="244"/>
      <c r="S150" s="244"/>
      <c r="T150" s="244"/>
      <c r="U150" s="244"/>
    </row>
    <row r="151" spans="2:21">
      <c r="B151" s="145" t="str">
        <f t="shared" si="10"/>
        <v/>
      </c>
      <c r="C151" s="496">
        <f>IF(D94="","-",+C150+1)</f>
        <v>2068</v>
      </c>
      <c r="D151" s="350">
        <f>IF(F150+SUM(E$100:E150)=D$93,F150,D$93-SUM(E$100:E150))</f>
        <v>0</v>
      </c>
      <c r="E151" s="510">
        <f t="shared" si="20"/>
        <v>0</v>
      </c>
      <c r="F151" s="511">
        <f t="shared" si="15"/>
        <v>0</v>
      </c>
      <c r="G151" s="511">
        <f t="shared" si="16"/>
        <v>0</v>
      </c>
      <c r="H151" s="646">
        <f t="shared" si="17"/>
        <v>0</v>
      </c>
      <c r="I151" s="573">
        <f t="shared" si="18"/>
        <v>0</v>
      </c>
      <c r="J151" s="505">
        <f t="shared" si="11"/>
        <v>0</v>
      </c>
      <c r="K151" s="505"/>
      <c r="L151" s="513"/>
      <c r="M151" s="505">
        <f t="shared" si="19"/>
        <v>0</v>
      </c>
      <c r="N151" s="513"/>
      <c r="O151" s="505">
        <f t="shared" si="12"/>
        <v>0</v>
      </c>
      <c r="P151" s="505">
        <f t="shared" si="13"/>
        <v>0</v>
      </c>
      <c r="Q151" s="244"/>
      <c r="R151" s="244"/>
      <c r="S151" s="244"/>
      <c r="T151" s="244"/>
      <c r="U151" s="244"/>
    </row>
    <row r="152" spans="2:21">
      <c r="B152" s="145" t="str">
        <f t="shared" si="10"/>
        <v/>
      </c>
      <c r="C152" s="496">
        <f>IF(D94="","-",+C151+1)</f>
        <v>2069</v>
      </c>
      <c r="D152" s="350">
        <f>IF(F151+SUM(E$100:E151)=D$93,F151,D$93-SUM(E$100:E151))</f>
        <v>0</v>
      </c>
      <c r="E152" s="510">
        <f t="shared" si="20"/>
        <v>0</v>
      </c>
      <c r="F152" s="511">
        <f t="shared" si="15"/>
        <v>0</v>
      </c>
      <c r="G152" s="511">
        <f t="shared" si="16"/>
        <v>0</v>
      </c>
      <c r="H152" s="646">
        <f t="shared" si="17"/>
        <v>0</v>
      </c>
      <c r="I152" s="573">
        <f t="shared" si="18"/>
        <v>0</v>
      </c>
      <c r="J152" s="505">
        <f t="shared" si="11"/>
        <v>0</v>
      </c>
      <c r="K152" s="505"/>
      <c r="L152" s="513"/>
      <c r="M152" s="505">
        <f t="shared" si="19"/>
        <v>0</v>
      </c>
      <c r="N152" s="513"/>
      <c r="O152" s="505">
        <f t="shared" si="12"/>
        <v>0</v>
      </c>
      <c r="P152" s="505">
        <f t="shared" si="13"/>
        <v>0</v>
      </c>
      <c r="Q152" s="244"/>
      <c r="R152" s="244"/>
      <c r="S152" s="244"/>
      <c r="T152" s="244"/>
      <c r="U152" s="244"/>
    </row>
    <row r="153" spans="2:21">
      <c r="B153" s="145" t="str">
        <f t="shared" si="10"/>
        <v/>
      </c>
      <c r="C153" s="496">
        <f>IF(D94="","-",+C152+1)</f>
        <v>2070</v>
      </c>
      <c r="D153" s="350">
        <f>IF(F152+SUM(E$100:E152)=D$93,F152,D$93-SUM(E$100:E152))</f>
        <v>0</v>
      </c>
      <c r="E153" s="510">
        <f t="shared" si="20"/>
        <v>0</v>
      </c>
      <c r="F153" s="511">
        <f t="shared" si="15"/>
        <v>0</v>
      </c>
      <c r="G153" s="511">
        <f t="shared" si="16"/>
        <v>0</v>
      </c>
      <c r="H153" s="646">
        <f t="shared" si="17"/>
        <v>0</v>
      </c>
      <c r="I153" s="573">
        <f t="shared" si="18"/>
        <v>0</v>
      </c>
      <c r="J153" s="505">
        <f t="shared" si="11"/>
        <v>0</v>
      </c>
      <c r="K153" s="505"/>
      <c r="L153" s="513"/>
      <c r="M153" s="505">
        <f t="shared" si="19"/>
        <v>0</v>
      </c>
      <c r="N153" s="513"/>
      <c r="O153" s="505">
        <f t="shared" si="12"/>
        <v>0</v>
      </c>
      <c r="P153" s="505">
        <f t="shared" si="13"/>
        <v>0</v>
      </c>
      <c r="Q153" s="244"/>
      <c r="R153" s="244"/>
      <c r="S153" s="244"/>
      <c r="T153" s="244"/>
      <c r="U153" s="244"/>
    </row>
    <row r="154" spans="2:21">
      <c r="B154" s="145" t="str">
        <f t="shared" si="10"/>
        <v/>
      </c>
      <c r="C154" s="496">
        <f>IF(D94="","-",+C153+1)</f>
        <v>2071</v>
      </c>
      <c r="D154" s="350">
        <f>IF(F153+SUM(E$100:E153)=D$93,F153,D$93-SUM(E$100:E153))</f>
        <v>0</v>
      </c>
      <c r="E154" s="510">
        <f t="shared" si="20"/>
        <v>0</v>
      </c>
      <c r="F154" s="511">
        <f t="shared" si="15"/>
        <v>0</v>
      </c>
      <c r="G154" s="511">
        <f t="shared" si="16"/>
        <v>0</v>
      </c>
      <c r="H154" s="646">
        <f t="shared" si="17"/>
        <v>0</v>
      </c>
      <c r="I154" s="573">
        <f t="shared" si="18"/>
        <v>0</v>
      </c>
      <c r="J154" s="505">
        <f t="shared" si="11"/>
        <v>0</v>
      </c>
      <c r="K154" s="505"/>
      <c r="L154" s="513"/>
      <c r="M154" s="505">
        <f t="shared" si="19"/>
        <v>0</v>
      </c>
      <c r="N154" s="513"/>
      <c r="O154" s="505">
        <f t="shared" si="12"/>
        <v>0</v>
      </c>
      <c r="P154" s="505">
        <f t="shared" si="13"/>
        <v>0</v>
      </c>
      <c r="Q154" s="244"/>
      <c r="R154" s="244"/>
      <c r="S154" s="244"/>
      <c r="T154" s="244"/>
      <c r="U154" s="244"/>
    </row>
    <row r="155" spans="2:21" ht="13.5" thickBot="1">
      <c r="B155" s="145" t="str">
        <f t="shared" si="10"/>
        <v/>
      </c>
      <c r="C155" s="525">
        <f>IF(D94="","-",+C154+1)</f>
        <v>2072</v>
      </c>
      <c r="D155" s="528">
        <f>IF(F154+SUM(E$100:E154)=D$93,F154,D$93-SUM(E$100:E154))</f>
        <v>0</v>
      </c>
      <c r="E155" s="527">
        <f t="shared" si="20"/>
        <v>0</v>
      </c>
      <c r="F155" s="528">
        <f t="shared" si="15"/>
        <v>0</v>
      </c>
      <c r="G155" s="528">
        <f t="shared" si="16"/>
        <v>0</v>
      </c>
      <c r="H155" s="646">
        <f t="shared" si="17"/>
        <v>0</v>
      </c>
      <c r="I155" s="574">
        <f t="shared" si="18"/>
        <v>0</v>
      </c>
      <c r="J155" s="532">
        <f t="shared" si="11"/>
        <v>0</v>
      </c>
      <c r="K155" s="505"/>
      <c r="L155" s="531"/>
      <c r="M155" s="532">
        <f t="shared" si="19"/>
        <v>0</v>
      </c>
      <c r="N155" s="531"/>
      <c r="O155" s="532">
        <f t="shared" si="12"/>
        <v>0</v>
      </c>
      <c r="P155" s="532">
        <f t="shared" si="13"/>
        <v>0</v>
      </c>
      <c r="Q155" s="244"/>
      <c r="R155" s="244"/>
      <c r="S155" s="244"/>
      <c r="T155" s="244"/>
      <c r="U155" s="244"/>
    </row>
    <row r="156" spans="2:21">
      <c r="C156" s="350" t="s">
        <v>75</v>
      </c>
      <c r="D156" s="295"/>
      <c r="E156" s="295">
        <f>SUM(E100:E155)</f>
        <v>11056565</v>
      </c>
      <c r="F156" s="295"/>
      <c r="G156" s="295"/>
      <c r="H156" s="295">
        <f>SUM(H100:H155)</f>
        <v>28113335.658752665</v>
      </c>
      <c r="I156" s="295">
        <f>SUM(I100:I155)</f>
        <v>28113335.658752665</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31 C34:C40 C44:C73">
    <cfRule type="cellIs" dxfId="22" priority="4" stopIfTrue="1" operator="equal">
      <formula>$I$10</formula>
    </cfRule>
  </conditionalFormatting>
  <conditionalFormatting sqref="C100:C155">
    <cfRule type="cellIs" dxfId="21" priority="5" stopIfTrue="1" operator="equal">
      <formula>$J$93</formula>
    </cfRule>
  </conditionalFormatting>
  <conditionalFormatting sqref="C32">
    <cfRule type="cellIs" dxfId="20" priority="3" stopIfTrue="1" operator="equal">
      <formula>$I$10</formula>
    </cfRule>
  </conditionalFormatting>
  <conditionalFormatting sqref="C33">
    <cfRule type="cellIs" dxfId="19" priority="2" stopIfTrue="1" operator="equal">
      <formula>$I$10</formula>
    </cfRule>
  </conditionalFormatting>
  <conditionalFormatting sqref="C41:C43">
    <cfRule type="cellIs" dxfId="18" priority="1" stopIfTrue="1" operator="equal">
      <formula>$I$10</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7"/>
  <dimension ref="A1:P163"/>
  <sheetViews>
    <sheetView zoomScale="85" zoomScaleNormal="85"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16 of 20</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1227854.794149773</v>
      </c>
      <c r="P5" s="244"/>
    </row>
    <row r="6" spans="1:16" ht="15.75">
      <c r="C6" s="236"/>
      <c r="D6" s="293"/>
      <c r="E6" s="244"/>
      <c r="F6" s="244"/>
      <c r="G6" s="244"/>
      <c r="H6" s="450"/>
      <c r="I6" s="450"/>
      <c r="J6" s="451"/>
      <c r="K6" s="452" t="s">
        <v>243</v>
      </c>
      <c r="L6" s="453"/>
      <c r="M6" s="279"/>
      <c r="N6" s="454">
        <f>VLOOKUP(I10,C17:I73,6)</f>
        <v>1227854.794149773</v>
      </c>
      <c r="O6" s="244"/>
      <c r="P6" s="244"/>
    </row>
    <row r="7" spans="1:16" ht="13.5" thickBot="1">
      <c r="C7" s="455" t="s">
        <v>46</v>
      </c>
      <c r="D7" s="635" t="s">
        <v>246</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262</v>
      </c>
      <c r="E9" s="466"/>
      <c r="F9" s="466"/>
      <c r="G9" s="466"/>
      <c r="H9" s="466"/>
      <c r="I9" s="467"/>
      <c r="J9" s="468"/>
      <c r="O9" s="469"/>
      <c r="P9" s="279"/>
    </row>
    <row r="10" spans="1:16">
      <c r="C10" s="470" t="s">
        <v>49</v>
      </c>
      <c r="D10" s="471">
        <v>9653726</v>
      </c>
      <c r="E10" s="300" t="s">
        <v>50</v>
      </c>
      <c r="F10" s="469"/>
      <c r="G10" s="409"/>
      <c r="H10" s="409"/>
      <c r="I10" s="472">
        <f>+'OKT.WS.F.BPU.ATRR.Projected'!R100</f>
        <v>2020</v>
      </c>
      <c r="J10" s="468"/>
      <c r="K10" s="295" t="s">
        <v>51</v>
      </c>
      <c r="O10" s="279"/>
      <c r="P10" s="279"/>
    </row>
    <row r="11" spans="1:16">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7</v>
      </c>
      <c r="E12" s="473" t="s">
        <v>55</v>
      </c>
      <c r="F12" s="409"/>
      <c r="G12" s="221"/>
      <c r="H12" s="221"/>
      <c r="I12" s="477">
        <f>'OKT.WS.F.BPU.ATRR.Projected'!$F$78</f>
        <v>0.1064171487591708</v>
      </c>
      <c r="J12" s="414"/>
      <c r="K12" s="145" t="s">
        <v>56</v>
      </c>
      <c r="O12" s="279"/>
      <c r="P12" s="279"/>
    </row>
    <row r="13" spans="1:16">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5" thickBot="1">
      <c r="C14" s="473" t="s">
        <v>60</v>
      </c>
      <c r="D14" s="474" t="s">
        <v>61</v>
      </c>
      <c r="E14" s="279" t="s">
        <v>62</v>
      </c>
      <c r="F14" s="409"/>
      <c r="G14" s="221"/>
      <c r="H14" s="221"/>
      <c r="I14" s="478">
        <f>IF(D10=0,0,D10/D13)</f>
        <v>283933.1176470588</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2017</v>
      </c>
      <c r="D17" s="613">
        <v>0</v>
      </c>
      <c r="E17" s="621">
        <v>72904.982539658653</v>
      </c>
      <c r="F17" s="613">
        <v>8826095.0174603406</v>
      </c>
      <c r="G17" s="621">
        <v>558075.303653282</v>
      </c>
      <c r="H17" s="618">
        <v>558075.303653282</v>
      </c>
      <c r="I17" s="501">
        <f>H17-G17</f>
        <v>0</v>
      </c>
      <c r="J17" s="501"/>
      <c r="K17" s="502">
        <f>+G17</f>
        <v>558075.303653282</v>
      </c>
      <c r="L17" s="504">
        <f t="shared" ref="L17:L71" si="1">IF(K17&lt;&gt;0,+G17-K17,0)</f>
        <v>0</v>
      </c>
      <c r="M17" s="502">
        <f>+H17</f>
        <v>558075.303653282</v>
      </c>
      <c r="N17" s="504">
        <f t="shared" ref="N17:N71" si="2">IF(M17&lt;&gt;0,+H17-M17,0)</f>
        <v>0</v>
      </c>
      <c r="O17" s="505">
        <f t="shared" ref="O17:O71" si="3">+N17-L17</f>
        <v>0</v>
      </c>
      <c r="P17" s="279"/>
    </row>
    <row r="18" spans="2:16">
      <c r="B18" s="145" t="str">
        <f t="shared" si="0"/>
        <v/>
      </c>
      <c r="C18" s="496">
        <f>IF(D11="","-",+C17+1)</f>
        <v>2018</v>
      </c>
      <c r="D18" s="615">
        <v>8826095.0174603406</v>
      </c>
      <c r="E18" s="614">
        <v>218244.25465113699</v>
      </c>
      <c r="F18" s="615">
        <v>8607850.7628092039</v>
      </c>
      <c r="G18" s="614">
        <v>1242410.3516112138</v>
      </c>
      <c r="H18" s="618">
        <v>1242410.3516112138</v>
      </c>
      <c r="I18" s="501">
        <f t="shared" ref="I18:I71" si="4">H18-G18</f>
        <v>0</v>
      </c>
      <c r="J18" s="501"/>
      <c r="K18" s="593">
        <f>+G18</f>
        <v>1242410.3516112138</v>
      </c>
      <c r="L18" s="597">
        <f t="shared" si="1"/>
        <v>0</v>
      </c>
      <c r="M18" s="593">
        <f>+H18</f>
        <v>1242410.3516112138</v>
      </c>
      <c r="N18" s="505">
        <f t="shared" si="2"/>
        <v>0</v>
      </c>
      <c r="O18" s="505">
        <f t="shared" si="3"/>
        <v>0</v>
      </c>
      <c r="P18" s="279"/>
    </row>
    <row r="19" spans="2:16">
      <c r="B19" s="145" t="str">
        <f t="shared" si="0"/>
        <v/>
      </c>
      <c r="C19" s="496">
        <f>IF(D11="","-",+C18+1)</f>
        <v>2019</v>
      </c>
      <c r="D19" s="615">
        <v>8607850.7628092039</v>
      </c>
      <c r="E19" s="614">
        <v>218244.25465113699</v>
      </c>
      <c r="F19" s="615">
        <v>8389606.5081580672</v>
      </c>
      <c r="G19" s="614">
        <v>1216768.6100012362</v>
      </c>
      <c r="H19" s="618">
        <v>1216768.6100012362</v>
      </c>
      <c r="I19" s="501">
        <f t="shared" si="4"/>
        <v>0</v>
      </c>
      <c r="J19" s="501"/>
      <c r="K19" s="593">
        <f>+G19</f>
        <v>1216768.6100012362</v>
      </c>
      <c r="L19" s="597">
        <f t="shared" ref="L19" si="5">IF(K19&lt;&gt;0,+G19-K19,0)</f>
        <v>0</v>
      </c>
      <c r="M19" s="593">
        <f>+H19</f>
        <v>1216768.6100012362</v>
      </c>
      <c r="N19" s="505">
        <f t="shared" ref="N19" si="6">IF(M19&lt;&gt;0,+H19-M19,0)</f>
        <v>0</v>
      </c>
      <c r="O19" s="505">
        <f t="shared" ref="O19" si="7">+N19-L19</f>
        <v>0</v>
      </c>
      <c r="P19" s="279"/>
    </row>
    <row r="20" spans="2:16">
      <c r="B20" s="145" t="str">
        <f t="shared" si="0"/>
        <v>IU</v>
      </c>
      <c r="C20" s="496">
        <f>IF(D11="","-",+C19+1)</f>
        <v>2020</v>
      </c>
      <c r="D20" s="615">
        <v>9147876.5081580672</v>
      </c>
      <c r="E20" s="614">
        <v>282782.06007850129</v>
      </c>
      <c r="F20" s="615">
        <v>8865094.4480795655</v>
      </c>
      <c r="G20" s="614">
        <v>1227854.794149773</v>
      </c>
      <c r="H20" s="618">
        <v>1227854.794149773</v>
      </c>
      <c r="I20" s="501">
        <f t="shared" si="4"/>
        <v>0</v>
      </c>
      <c r="J20" s="501"/>
      <c r="K20" s="593">
        <f>+G20</f>
        <v>1227854.794149773</v>
      </c>
      <c r="L20" s="597">
        <f t="shared" ref="L20" si="8">IF(K20&lt;&gt;0,+G20-K20,0)</f>
        <v>0</v>
      </c>
      <c r="M20" s="593">
        <f>+H20</f>
        <v>1227854.794149773</v>
      </c>
      <c r="N20" s="505">
        <f t="shared" si="2"/>
        <v>0</v>
      </c>
      <c r="O20" s="505">
        <f t="shared" si="3"/>
        <v>0</v>
      </c>
      <c r="P20" s="279"/>
    </row>
    <row r="21" spans="2:16">
      <c r="B21" s="145" t="str">
        <f t="shared" si="0"/>
        <v>IU</v>
      </c>
      <c r="C21" s="496">
        <f>IF(D11="","-",+C20+1)</f>
        <v>2021</v>
      </c>
      <c r="D21" s="615">
        <v>8825085.6239703409</v>
      </c>
      <c r="E21" s="614">
        <v>311708.09677419357</v>
      </c>
      <c r="F21" s="615">
        <v>8513377.5271961465</v>
      </c>
      <c r="G21" s="614">
        <v>1249589.4972268606</v>
      </c>
      <c r="H21" s="618">
        <v>1249589.4972268606</v>
      </c>
      <c r="I21" s="501">
        <f t="shared" si="4"/>
        <v>0</v>
      </c>
      <c r="J21" s="501"/>
      <c r="K21" s="593">
        <f>+G21</f>
        <v>1249589.4972268606</v>
      </c>
      <c r="L21" s="597">
        <f t="shared" ref="L21" si="9">IF(K21&lt;&gt;0,+G21-K21,0)</f>
        <v>0</v>
      </c>
      <c r="M21" s="593">
        <f>+H21</f>
        <v>1249589.4972268606</v>
      </c>
      <c r="N21" s="505">
        <f t="shared" si="2"/>
        <v>0</v>
      </c>
      <c r="O21" s="505">
        <f t="shared" si="3"/>
        <v>0</v>
      </c>
      <c r="P21" s="279"/>
    </row>
    <row r="22" spans="2:16">
      <c r="B22" s="145" t="str">
        <f t="shared" si="0"/>
        <v>IU</v>
      </c>
      <c r="C22" s="496">
        <f>IF(D11="","-",+C21+1)</f>
        <v>2022</v>
      </c>
      <c r="D22" s="509">
        <f>IF(F21+SUM(E$17:E21)=D$10,F21,D$10-SUM(E$17:E21))</f>
        <v>8549842.351305373</v>
      </c>
      <c r="E22" s="510">
        <f t="shared" ref="E22:E49" si="10">IF(+I$14&lt;F21,I$14,D22)</f>
        <v>283933.1176470588</v>
      </c>
      <c r="F22" s="511">
        <f t="shared" ref="F22:F71" si="11">+D22-E22</f>
        <v>8265909.2336583138</v>
      </c>
      <c r="G22" s="512">
        <f t="shared" ref="G22:G48" si="12">(D22+F22)/2*I$12+E22</f>
        <v>1178675.2866042303</v>
      </c>
      <c r="H22" s="478">
        <f t="shared" ref="H22:H48" si="13">+(D22+F22)/2*I$13+E22</f>
        <v>1178675.2866042303</v>
      </c>
      <c r="I22" s="501">
        <f t="shared" si="4"/>
        <v>0</v>
      </c>
      <c r="J22" s="501"/>
      <c r="K22" s="513"/>
      <c r="L22" s="505">
        <f t="shared" si="1"/>
        <v>0</v>
      </c>
      <c r="M22" s="513"/>
      <c r="N22" s="505">
        <f t="shared" si="2"/>
        <v>0</v>
      </c>
      <c r="O22" s="505">
        <f t="shared" si="3"/>
        <v>0</v>
      </c>
      <c r="P22" s="279"/>
    </row>
    <row r="23" spans="2:16">
      <c r="B23" s="145" t="str">
        <f t="shared" si="0"/>
        <v/>
      </c>
      <c r="C23" s="496">
        <f>IF(D11="","-",+C22+1)</f>
        <v>2023</v>
      </c>
      <c r="D23" s="509">
        <f>IF(F22+SUM(E$17:E22)=D$10,F22,D$10-SUM(E$17:E22))</f>
        <v>8265909.2336583138</v>
      </c>
      <c r="E23" s="510">
        <f t="shared" si="10"/>
        <v>283933.1176470588</v>
      </c>
      <c r="F23" s="511">
        <f t="shared" si="11"/>
        <v>7981976.1160112545</v>
      </c>
      <c r="G23" s="512">
        <f t="shared" si="12"/>
        <v>1148459.9337859279</v>
      </c>
      <c r="H23" s="478">
        <f t="shared" si="13"/>
        <v>1148459.9337859279</v>
      </c>
      <c r="I23" s="501">
        <f t="shared" si="4"/>
        <v>0</v>
      </c>
      <c r="J23" s="501"/>
      <c r="K23" s="513"/>
      <c r="L23" s="505">
        <f t="shared" si="1"/>
        <v>0</v>
      </c>
      <c r="M23" s="513"/>
      <c r="N23" s="505">
        <f t="shared" si="2"/>
        <v>0</v>
      </c>
      <c r="O23" s="505">
        <f t="shared" si="3"/>
        <v>0</v>
      </c>
      <c r="P23" s="279"/>
    </row>
    <row r="24" spans="2:16">
      <c r="B24" s="145" t="str">
        <f t="shared" si="0"/>
        <v/>
      </c>
      <c r="C24" s="496">
        <f>IF(D11="","-",+C23+1)</f>
        <v>2024</v>
      </c>
      <c r="D24" s="509">
        <f>IF(F23+SUM(E$17:E23)=D$10,F23,D$10-SUM(E$17:E23))</f>
        <v>7981976.1160112545</v>
      </c>
      <c r="E24" s="510">
        <f t="shared" si="10"/>
        <v>283933.1176470588</v>
      </c>
      <c r="F24" s="511">
        <f t="shared" si="11"/>
        <v>7698042.9983641952</v>
      </c>
      <c r="G24" s="512">
        <f t="shared" si="12"/>
        <v>1118244.5809676256</v>
      </c>
      <c r="H24" s="478">
        <f t="shared" si="13"/>
        <v>1118244.5809676256</v>
      </c>
      <c r="I24" s="501">
        <f t="shared" si="4"/>
        <v>0</v>
      </c>
      <c r="J24" s="501"/>
      <c r="K24" s="513"/>
      <c r="L24" s="505">
        <f t="shared" si="1"/>
        <v>0</v>
      </c>
      <c r="M24" s="513"/>
      <c r="N24" s="505">
        <f t="shared" si="2"/>
        <v>0</v>
      </c>
      <c r="O24" s="505">
        <f t="shared" si="3"/>
        <v>0</v>
      </c>
      <c r="P24" s="279"/>
    </row>
    <row r="25" spans="2:16">
      <c r="B25" s="145" t="str">
        <f t="shared" si="0"/>
        <v/>
      </c>
      <c r="C25" s="496">
        <f>IF(D11="","-",+C24+1)</f>
        <v>2025</v>
      </c>
      <c r="D25" s="509">
        <f>IF(F24+SUM(E$17:E24)=D$10,F24,D$10-SUM(E$17:E24))</f>
        <v>7698042.9983641952</v>
      </c>
      <c r="E25" s="510">
        <f t="shared" si="10"/>
        <v>283933.1176470588</v>
      </c>
      <c r="F25" s="511">
        <f t="shared" si="11"/>
        <v>7414109.880717136</v>
      </c>
      <c r="G25" s="512">
        <f t="shared" si="12"/>
        <v>1088029.2281493235</v>
      </c>
      <c r="H25" s="478">
        <f t="shared" si="13"/>
        <v>1088029.2281493235</v>
      </c>
      <c r="I25" s="501">
        <f t="shared" si="4"/>
        <v>0</v>
      </c>
      <c r="J25" s="501"/>
      <c r="K25" s="513"/>
      <c r="L25" s="505">
        <f t="shared" si="1"/>
        <v>0</v>
      </c>
      <c r="M25" s="513"/>
      <c r="N25" s="505">
        <f t="shared" si="2"/>
        <v>0</v>
      </c>
      <c r="O25" s="505">
        <f t="shared" si="3"/>
        <v>0</v>
      </c>
      <c r="P25" s="279"/>
    </row>
    <row r="26" spans="2:16">
      <c r="B26" s="145" t="str">
        <f t="shared" si="0"/>
        <v/>
      </c>
      <c r="C26" s="496">
        <f>IF(D11="","-",+C25+1)</f>
        <v>2026</v>
      </c>
      <c r="D26" s="509">
        <f>IF(F25+SUM(E$17:E25)=D$10,F25,D$10-SUM(E$17:E25))</f>
        <v>7414109.880717136</v>
      </c>
      <c r="E26" s="510">
        <f t="shared" si="10"/>
        <v>283933.1176470588</v>
      </c>
      <c r="F26" s="511">
        <f t="shared" si="11"/>
        <v>7130176.7630700767</v>
      </c>
      <c r="G26" s="512">
        <f t="shared" si="12"/>
        <v>1057813.8753310211</v>
      </c>
      <c r="H26" s="478">
        <f t="shared" si="13"/>
        <v>1057813.8753310211</v>
      </c>
      <c r="I26" s="501">
        <f t="shared" si="4"/>
        <v>0</v>
      </c>
      <c r="J26" s="501"/>
      <c r="K26" s="513"/>
      <c r="L26" s="505">
        <f t="shared" si="1"/>
        <v>0</v>
      </c>
      <c r="M26" s="513"/>
      <c r="N26" s="505">
        <f t="shared" si="2"/>
        <v>0</v>
      </c>
      <c r="O26" s="505">
        <f t="shared" si="3"/>
        <v>0</v>
      </c>
      <c r="P26" s="279"/>
    </row>
    <row r="27" spans="2:16">
      <c r="B27" s="145" t="str">
        <f t="shared" si="0"/>
        <v/>
      </c>
      <c r="C27" s="496">
        <f>IF(D11="","-",+C26+1)</f>
        <v>2027</v>
      </c>
      <c r="D27" s="509">
        <f>IF(F26+SUM(E$17:E26)=D$10,F26,D$10-SUM(E$17:E26))</f>
        <v>7130176.7630700767</v>
      </c>
      <c r="E27" s="510">
        <f t="shared" si="10"/>
        <v>283933.1176470588</v>
      </c>
      <c r="F27" s="511">
        <f t="shared" si="11"/>
        <v>6846243.6454230174</v>
      </c>
      <c r="G27" s="512">
        <f t="shared" si="12"/>
        <v>1027598.5225127189</v>
      </c>
      <c r="H27" s="478">
        <f t="shared" si="13"/>
        <v>1027598.5225127189</v>
      </c>
      <c r="I27" s="501">
        <f t="shared" si="4"/>
        <v>0</v>
      </c>
      <c r="J27" s="501"/>
      <c r="K27" s="513"/>
      <c r="L27" s="505">
        <f t="shared" si="1"/>
        <v>0</v>
      </c>
      <c r="M27" s="513"/>
      <c r="N27" s="505">
        <f t="shared" si="2"/>
        <v>0</v>
      </c>
      <c r="O27" s="505">
        <f t="shared" si="3"/>
        <v>0</v>
      </c>
      <c r="P27" s="279"/>
    </row>
    <row r="28" spans="2:16">
      <c r="B28" s="145" t="str">
        <f t="shared" si="0"/>
        <v/>
      </c>
      <c r="C28" s="496">
        <f>IF(D11="","-",+C27+1)</f>
        <v>2028</v>
      </c>
      <c r="D28" s="509">
        <f>IF(F27+SUM(E$17:E27)=D$10,F27,D$10-SUM(E$17:E27))</f>
        <v>6846243.6454230174</v>
      </c>
      <c r="E28" s="510">
        <f t="shared" si="10"/>
        <v>283933.1176470588</v>
      </c>
      <c r="F28" s="511">
        <f t="shared" si="11"/>
        <v>6562310.5277759582</v>
      </c>
      <c r="G28" s="512">
        <f t="shared" si="12"/>
        <v>997383.16969441669</v>
      </c>
      <c r="H28" s="478">
        <f t="shared" si="13"/>
        <v>997383.16969441669</v>
      </c>
      <c r="I28" s="501">
        <f t="shared" si="4"/>
        <v>0</v>
      </c>
      <c r="J28" s="501"/>
      <c r="K28" s="513"/>
      <c r="L28" s="505">
        <f t="shared" si="1"/>
        <v>0</v>
      </c>
      <c r="M28" s="513"/>
      <c r="N28" s="505">
        <f t="shared" si="2"/>
        <v>0</v>
      </c>
      <c r="O28" s="505">
        <f t="shared" si="3"/>
        <v>0</v>
      </c>
      <c r="P28" s="279"/>
    </row>
    <row r="29" spans="2:16">
      <c r="B29" s="145" t="str">
        <f t="shared" si="0"/>
        <v/>
      </c>
      <c r="C29" s="496">
        <f>IF(D11="","-",+C28+1)</f>
        <v>2029</v>
      </c>
      <c r="D29" s="509">
        <f>IF(F28+SUM(E$17:E28)=D$10,F28,D$10-SUM(E$17:E28))</f>
        <v>6562310.5277759582</v>
      </c>
      <c r="E29" s="510">
        <f t="shared" si="10"/>
        <v>283933.1176470588</v>
      </c>
      <c r="F29" s="511">
        <f t="shared" si="11"/>
        <v>6278377.4101288989</v>
      </c>
      <c r="G29" s="512">
        <f t="shared" si="12"/>
        <v>967167.81687611446</v>
      </c>
      <c r="H29" s="478">
        <f t="shared" si="13"/>
        <v>967167.81687611446</v>
      </c>
      <c r="I29" s="501">
        <f t="shared" si="4"/>
        <v>0</v>
      </c>
      <c r="J29" s="501"/>
      <c r="K29" s="513"/>
      <c r="L29" s="505">
        <f t="shared" si="1"/>
        <v>0</v>
      </c>
      <c r="M29" s="513"/>
      <c r="N29" s="505">
        <f t="shared" si="2"/>
        <v>0</v>
      </c>
      <c r="O29" s="505">
        <f t="shared" si="3"/>
        <v>0</v>
      </c>
      <c r="P29" s="279"/>
    </row>
    <row r="30" spans="2:16">
      <c r="B30" s="145" t="str">
        <f t="shared" si="0"/>
        <v/>
      </c>
      <c r="C30" s="496">
        <f>IF(D11="","-",+C29+1)</f>
        <v>2030</v>
      </c>
      <c r="D30" s="509">
        <f>IF(F29+SUM(E$17:E29)=D$10,F29,D$10-SUM(E$17:E29))</f>
        <v>6278377.4101288989</v>
      </c>
      <c r="E30" s="510">
        <f t="shared" si="10"/>
        <v>283933.1176470588</v>
      </c>
      <c r="F30" s="511">
        <f t="shared" si="11"/>
        <v>5994444.2924818397</v>
      </c>
      <c r="G30" s="512">
        <f t="shared" si="12"/>
        <v>936952.46405781223</v>
      </c>
      <c r="H30" s="478">
        <f t="shared" si="13"/>
        <v>936952.46405781223</v>
      </c>
      <c r="I30" s="501">
        <f t="shared" si="4"/>
        <v>0</v>
      </c>
      <c r="J30" s="501"/>
      <c r="K30" s="513"/>
      <c r="L30" s="505">
        <f t="shared" si="1"/>
        <v>0</v>
      </c>
      <c r="M30" s="513"/>
      <c r="N30" s="505">
        <f t="shared" si="2"/>
        <v>0</v>
      </c>
      <c r="O30" s="505">
        <f t="shared" si="3"/>
        <v>0</v>
      </c>
      <c r="P30" s="279"/>
    </row>
    <row r="31" spans="2:16">
      <c r="B31" s="145" t="str">
        <f t="shared" si="0"/>
        <v/>
      </c>
      <c r="C31" s="496">
        <f>IF(D11="","-",+C30+1)</f>
        <v>2031</v>
      </c>
      <c r="D31" s="509">
        <f>IF(F30+SUM(E$17:E30)=D$10,F30,D$10-SUM(E$17:E30))</f>
        <v>5994444.2924818397</v>
      </c>
      <c r="E31" s="510">
        <f t="shared" si="10"/>
        <v>283933.1176470588</v>
      </c>
      <c r="F31" s="511">
        <f t="shared" si="11"/>
        <v>5710511.1748347804</v>
      </c>
      <c r="G31" s="512">
        <f t="shared" si="12"/>
        <v>906737.11123951001</v>
      </c>
      <c r="H31" s="478">
        <f t="shared" si="13"/>
        <v>906737.11123951001</v>
      </c>
      <c r="I31" s="501">
        <f t="shared" si="4"/>
        <v>0</v>
      </c>
      <c r="J31" s="501"/>
      <c r="K31" s="513"/>
      <c r="L31" s="505">
        <f t="shared" si="1"/>
        <v>0</v>
      </c>
      <c r="M31" s="513"/>
      <c r="N31" s="505">
        <f t="shared" si="2"/>
        <v>0</v>
      </c>
      <c r="O31" s="505">
        <f t="shared" si="3"/>
        <v>0</v>
      </c>
      <c r="P31" s="279"/>
    </row>
    <row r="32" spans="2:16">
      <c r="B32" s="145" t="str">
        <f t="shared" si="0"/>
        <v/>
      </c>
      <c r="C32" s="496">
        <f>IF(D11="","-",+C31+1)</f>
        <v>2032</v>
      </c>
      <c r="D32" s="509">
        <f>IF(F31+SUM(E$17:E31)=D$10,F31,D$10-SUM(E$17:E31))</f>
        <v>5710511.1748347804</v>
      </c>
      <c r="E32" s="510">
        <f t="shared" si="10"/>
        <v>283933.1176470588</v>
      </c>
      <c r="F32" s="511">
        <f t="shared" si="11"/>
        <v>5426578.0571877211</v>
      </c>
      <c r="G32" s="512">
        <f t="shared" si="12"/>
        <v>876521.75842120766</v>
      </c>
      <c r="H32" s="478">
        <f t="shared" si="13"/>
        <v>876521.75842120766</v>
      </c>
      <c r="I32" s="501">
        <f t="shared" si="4"/>
        <v>0</v>
      </c>
      <c r="J32" s="501"/>
      <c r="K32" s="513"/>
      <c r="L32" s="505">
        <f t="shared" si="1"/>
        <v>0</v>
      </c>
      <c r="M32" s="513"/>
      <c r="N32" s="505">
        <f t="shared" si="2"/>
        <v>0</v>
      </c>
      <c r="O32" s="505">
        <f t="shared" si="3"/>
        <v>0</v>
      </c>
      <c r="P32" s="279"/>
    </row>
    <row r="33" spans="2:16">
      <c r="B33" s="145" t="str">
        <f t="shared" si="0"/>
        <v/>
      </c>
      <c r="C33" s="496">
        <f>IF(D11="","-",+C32+1)</f>
        <v>2033</v>
      </c>
      <c r="D33" s="509">
        <f>IF(F32+SUM(E$17:E32)=D$10,F32,D$10-SUM(E$17:E32))</f>
        <v>5426578.0571877211</v>
      </c>
      <c r="E33" s="510">
        <f t="shared" si="10"/>
        <v>283933.1176470588</v>
      </c>
      <c r="F33" s="511">
        <f t="shared" si="11"/>
        <v>5142644.9395406619</v>
      </c>
      <c r="G33" s="512">
        <f t="shared" si="12"/>
        <v>846306.40560290543</v>
      </c>
      <c r="H33" s="478">
        <f t="shared" si="13"/>
        <v>846306.40560290543</v>
      </c>
      <c r="I33" s="501">
        <f t="shared" si="4"/>
        <v>0</v>
      </c>
      <c r="J33" s="501"/>
      <c r="K33" s="513"/>
      <c r="L33" s="505">
        <f t="shared" si="1"/>
        <v>0</v>
      </c>
      <c r="M33" s="513"/>
      <c r="N33" s="505">
        <f t="shared" si="2"/>
        <v>0</v>
      </c>
      <c r="O33" s="505">
        <f t="shared" si="3"/>
        <v>0</v>
      </c>
      <c r="P33" s="279"/>
    </row>
    <row r="34" spans="2:16">
      <c r="B34" s="145" t="str">
        <f t="shared" si="0"/>
        <v>IU</v>
      </c>
      <c r="C34" s="496">
        <f>IF(D11="","-",+C33+1)</f>
        <v>2034</v>
      </c>
      <c r="D34" s="509">
        <f>IF(F33+SUM(E$17:E33)=D$10,F33,D$10-SUM(E$17:E33))</f>
        <v>5142644.9395406675</v>
      </c>
      <c r="E34" s="510">
        <f t="shared" si="10"/>
        <v>283933.1176470588</v>
      </c>
      <c r="F34" s="511">
        <f t="shared" si="11"/>
        <v>4858711.8218936082</v>
      </c>
      <c r="G34" s="512">
        <f t="shared" si="12"/>
        <v>816091.05278460379</v>
      </c>
      <c r="H34" s="478">
        <f t="shared" si="13"/>
        <v>816091.05278460379</v>
      </c>
      <c r="I34" s="501">
        <f t="shared" si="4"/>
        <v>0</v>
      </c>
      <c r="J34" s="501"/>
      <c r="K34" s="513"/>
      <c r="L34" s="505">
        <f t="shared" si="1"/>
        <v>0</v>
      </c>
      <c r="M34" s="513"/>
      <c r="N34" s="505">
        <f t="shared" si="2"/>
        <v>0</v>
      </c>
      <c r="O34" s="505">
        <f t="shared" si="3"/>
        <v>0</v>
      </c>
      <c r="P34" s="279"/>
    </row>
    <row r="35" spans="2:16">
      <c r="B35" s="145" t="str">
        <f t="shared" si="0"/>
        <v/>
      </c>
      <c r="C35" s="496">
        <f>IF(D11="","-",+C34+1)</f>
        <v>2035</v>
      </c>
      <c r="D35" s="509">
        <f>IF(F34+SUM(E$17:E34)=D$10,F34,D$10-SUM(E$17:E34))</f>
        <v>4858711.8218936082</v>
      </c>
      <c r="E35" s="510">
        <f t="shared" si="10"/>
        <v>283933.1176470588</v>
      </c>
      <c r="F35" s="511">
        <f t="shared" si="11"/>
        <v>4574778.7042465489</v>
      </c>
      <c r="G35" s="512">
        <f t="shared" si="12"/>
        <v>785875.69996630156</v>
      </c>
      <c r="H35" s="478">
        <f t="shared" si="13"/>
        <v>785875.69996630156</v>
      </c>
      <c r="I35" s="501">
        <f t="shared" si="4"/>
        <v>0</v>
      </c>
      <c r="J35" s="501"/>
      <c r="K35" s="513"/>
      <c r="L35" s="505">
        <f t="shared" si="1"/>
        <v>0</v>
      </c>
      <c r="M35" s="513"/>
      <c r="N35" s="505">
        <f t="shared" si="2"/>
        <v>0</v>
      </c>
      <c r="O35" s="505">
        <f t="shared" si="3"/>
        <v>0</v>
      </c>
      <c r="P35" s="279"/>
    </row>
    <row r="36" spans="2:16">
      <c r="B36" s="145" t="str">
        <f t="shared" si="0"/>
        <v/>
      </c>
      <c r="C36" s="496">
        <f>IF(D11="","-",+C35+1)</f>
        <v>2036</v>
      </c>
      <c r="D36" s="509">
        <f>IF(F35+SUM(E$17:E35)=D$10,F35,D$10-SUM(E$17:E35))</f>
        <v>4574778.7042465489</v>
      </c>
      <c r="E36" s="510">
        <f t="shared" si="10"/>
        <v>283933.1176470588</v>
      </c>
      <c r="F36" s="511">
        <f t="shared" si="11"/>
        <v>4290845.5865994897</v>
      </c>
      <c r="G36" s="512">
        <f t="shared" si="12"/>
        <v>755660.34714799933</v>
      </c>
      <c r="H36" s="478">
        <f t="shared" si="13"/>
        <v>755660.34714799933</v>
      </c>
      <c r="I36" s="501">
        <f t="shared" si="4"/>
        <v>0</v>
      </c>
      <c r="J36" s="501"/>
      <c r="K36" s="513"/>
      <c r="L36" s="505">
        <f t="shared" si="1"/>
        <v>0</v>
      </c>
      <c r="M36" s="513"/>
      <c r="N36" s="505">
        <f t="shared" si="2"/>
        <v>0</v>
      </c>
      <c r="O36" s="505">
        <f t="shared" si="3"/>
        <v>0</v>
      </c>
      <c r="P36" s="279"/>
    </row>
    <row r="37" spans="2:16">
      <c r="B37" s="145" t="str">
        <f t="shared" si="0"/>
        <v/>
      </c>
      <c r="C37" s="496">
        <f>IF(D11="","-",+C36+1)</f>
        <v>2037</v>
      </c>
      <c r="D37" s="509">
        <f>IF(F36+SUM(E$17:E36)=D$10,F36,D$10-SUM(E$17:E36))</f>
        <v>4290845.5865994897</v>
      </c>
      <c r="E37" s="510">
        <f t="shared" si="10"/>
        <v>283933.1176470588</v>
      </c>
      <c r="F37" s="511">
        <f t="shared" si="11"/>
        <v>4006912.4689524309</v>
      </c>
      <c r="G37" s="512">
        <f t="shared" si="12"/>
        <v>725444.99432969699</v>
      </c>
      <c r="H37" s="478">
        <f t="shared" si="13"/>
        <v>725444.99432969699</v>
      </c>
      <c r="I37" s="501">
        <f t="shared" si="4"/>
        <v>0</v>
      </c>
      <c r="J37" s="501"/>
      <c r="K37" s="513"/>
      <c r="L37" s="505">
        <f t="shared" si="1"/>
        <v>0</v>
      </c>
      <c r="M37" s="513"/>
      <c r="N37" s="505">
        <f t="shared" si="2"/>
        <v>0</v>
      </c>
      <c r="O37" s="505">
        <f t="shared" si="3"/>
        <v>0</v>
      </c>
      <c r="P37" s="279"/>
    </row>
    <row r="38" spans="2:16">
      <c r="B38" s="145" t="str">
        <f t="shared" si="0"/>
        <v/>
      </c>
      <c r="C38" s="496">
        <f>IF(D11="","-",+C37+1)</f>
        <v>2038</v>
      </c>
      <c r="D38" s="509">
        <f>IF(F37+SUM(E$17:E37)=D$10,F37,D$10-SUM(E$17:E37))</f>
        <v>4006912.4689524309</v>
      </c>
      <c r="E38" s="510">
        <f t="shared" si="10"/>
        <v>283933.1176470588</v>
      </c>
      <c r="F38" s="511">
        <f t="shared" si="11"/>
        <v>3722979.3513053721</v>
      </c>
      <c r="G38" s="512">
        <f t="shared" si="12"/>
        <v>695229.64151139488</v>
      </c>
      <c r="H38" s="478">
        <f t="shared" si="13"/>
        <v>695229.64151139488</v>
      </c>
      <c r="I38" s="501">
        <f t="shared" si="4"/>
        <v>0</v>
      </c>
      <c r="J38" s="501"/>
      <c r="K38" s="513"/>
      <c r="L38" s="505">
        <f t="shared" si="1"/>
        <v>0</v>
      </c>
      <c r="M38" s="513"/>
      <c r="N38" s="505">
        <f t="shared" si="2"/>
        <v>0</v>
      </c>
      <c r="O38" s="505">
        <f t="shared" si="3"/>
        <v>0</v>
      </c>
      <c r="P38" s="279"/>
    </row>
    <row r="39" spans="2:16">
      <c r="B39" s="145" t="str">
        <f t="shared" si="0"/>
        <v/>
      </c>
      <c r="C39" s="496">
        <f>IF(D11="","-",+C38+1)</f>
        <v>2039</v>
      </c>
      <c r="D39" s="509">
        <f>IF(F38+SUM(E$17:E38)=D$10,F38,D$10-SUM(E$17:E38))</f>
        <v>3722979.3513053721</v>
      </c>
      <c r="E39" s="510">
        <f t="shared" si="10"/>
        <v>283933.1176470588</v>
      </c>
      <c r="F39" s="511">
        <f t="shared" si="11"/>
        <v>3439046.2336583133</v>
      </c>
      <c r="G39" s="512">
        <f t="shared" si="12"/>
        <v>665014.28869309265</v>
      </c>
      <c r="H39" s="478">
        <f t="shared" si="13"/>
        <v>665014.28869309265</v>
      </c>
      <c r="I39" s="501">
        <f t="shared" si="4"/>
        <v>0</v>
      </c>
      <c r="J39" s="501"/>
      <c r="K39" s="513"/>
      <c r="L39" s="505">
        <f t="shared" si="1"/>
        <v>0</v>
      </c>
      <c r="M39" s="513"/>
      <c r="N39" s="505">
        <f t="shared" si="2"/>
        <v>0</v>
      </c>
      <c r="O39" s="505">
        <f t="shared" si="3"/>
        <v>0</v>
      </c>
      <c r="P39" s="279"/>
    </row>
    <row r="40" spans="2:16">
      <c r="B40" s="145" t="str">
        <f t="shared" si="0"/>
        <v/>
      </c>
      <c r="C40" s="496">
        <f>IF(D11="","-",+C39+1)</f>
        <v>2040</v>
      </c>
      <c r="D40" s="509">
        <f>IF(F39+SUM(E$17:E39)=D$10,F39,D$10-SUM(E$17:E39))</f>
        <v>3439046.2336583133</v>
      </c>
      <c r="E40" s="510">
        <f t="shared" si="10"/>
        <v>283933.1176470588</v>
      </c>
      <c r="F40" s="511">
        <f t="shared" si="11"/>
        <v>3155113.1160112545</v>
      </c>
      <c r="G40" s="512">
        <f t="shared" si="12"/>
        <v>634798.93587479042</v>
      </c>
      <c r="H40" s="478">
        <f t="shared" si="13"/>
        <v>634798.93587479042</v>
      </c>
      <c r="I40" s="501">
        <f t="shared" si="4"/>
        <v>0</v>
      </c>
      <c r="J40" s="501"/>
      <c r="K40" s="513"/>
      <c r="L40" s="505">
        <f t="shared" si="1"/>
        <v>0</v>
      </c>
      <c r="M40" s="513"/>
      <c r="N40" s="505">
        <f t="shared" si="2"/>
        <v>0</v>
      </c>
      <c r="O40" s="505">
        <f t="shared" si="3"/>
        <v>0</v>
      </c>
      <c r="P40" s="279"/>
    </row>
    <row r="41" spans="2:16">
      <c r="B41" s="145" t="str">
        <f t="shared" si="0"/>
        <v/>
      </c>
      <c r="C41" s="496">
        <f>IF(D11="","-",+C40+1)</f>
        <v>2041</v>
      </c>
      <c r="D41" s="509">
        <f>IF(F40+SUM(E$17:E40)=D$10,F40,D$10-SUM(E$17:E40))</f>
        <v>3155113.1160112545</v>
      </c>
      <c r="E41" s="510">
        <f t="shared" si="10"/>
        <v>283933.1176470588</v>
      </c>
      <c r="F41" s="511">
        <f t="shared" si="11"/>
        <v>2871179.9983641957</v>
      </c>
      <c r="G41" s="512">
        <f t="shared" si="12"/>
        <v>604583.58305648831</v>
      </c>
      <c r="H41" s="478">
        <f t="shared" si="13"/>
        <v>604583.58305648831</v>
      </c>
      <c r="I41" s="501">
        <f t="shared" si="4"/>
        <v>0</v>
      </c>
      <c r="J41" s="501"/>
      <c r="K41" s="513"/>
      <c r="L41" s="505">
        <f t="shared" si="1"/>
        <v>0</v>
      </c>
      <c r="M41" s="513"/>
      <c r="N41" s="505">
        <f t="shared" si="2"/>
        <v>0</v>
      </c>
      <c r="O41" s="505">
        <f t="shared" si="3"/>
        <v>0</v>
      </c>
      <c r="P41" s="279"/>
    </row>
    <row r="42" spans="2:16">
      <c r="B42" s="145" t="str">
        <f t="shared" si="0"/>
        <v/>
      </c>
      <c r="C42" s="496">
        <f>IF(D11="","-",+C41+1)</f>
        <v>2042</v>
      </c>
      <c r="D42" s="509">
        <f>IF(F41+SUM(E$17:E41)=D$10,F41,D$10-SUM(E$17:E41))</f>
        <v>2871179.9983641957</v>
      </c>
      <c r="E42" s="510">
        <f t="shared" si="10"/>
        <v>283933.1176470588</v>
      </c>
      <c r="F42" s="511">
        <f t="shared" si="11"/>
        <v>2587246.8807171369</v>
      </c>
      <c r="G42" s="512">
        <f t="shared" si="12"/>
        <v>574368.23023818608</v>
      </c>
      <c r="H42" s="478">
        <f t="shared" si="13"/>
        <v>574368.23023818608</v>
      </c>
      <c r="I42" s="501">
        <f t="shared" si="4"/>
        <v>0</v>
      </c>
      <c r="J42" s="501"/>
      <c r="K42" s="513"/>
      <c r="L42" s="505">
        <f t="shared" si="1"/>
        <v>0</v>
      </c>
      <c r="M42" s="513"/>
      <c r="N42" s="505">
        <f t="shared" si="2"/>
        <v>0</v>
      </c>
      <c r="O42" s="505">
        <f t="shared" si="3"/>
        <v>0</v>
      </c>
      <c r="P42" s="279"/>
    </row>
    <row r="43" spans="2:16">
      <c r="B43" s="145" t="str">
        <f t="shared" si="0"/>
        <v/>
      </c>
      <c r="C43" s="496">
        <f>IF(D11="","-",+C42+1)</f>
        <v>2043</v>
      </c>
      <c r="D43" s="509">
        <f>IF(F42+SUM(E$17:E42)=D$10,F42,D$10-SUM(E$17:E42))</f>
        <v>2587246.8807171369</v>
      </c>
      <c r="E43" s="510">
        <f t="shared" si="10"/>
        <v>283933.1176470588</v>
      </c>
      <c r="F43" s="511">
        <f t="shared" si="11"/>
        <v>2303313.7630700781</v>
      </c>
      <c r="G43" s="512">
        <f t="shared" si="12"/>
        <v>544152.87741988385</v>
      </c>
      <c r="H43" s="478">
        <f t="shared" si="13"/>
        <v>544152.87741988385</v>
      </c>
      <c r="I43" s="501">
        <f t="shared" si="4"/>
        <v>0</v>
      </c>
      <c r="J43" s="501"/>
      <c r="K43" s="513"/>
      <c r="L43" s="505">
        <f t="shared" si="1"/>
        <v>0</v>
      </c>
      <c r="M43" s="513"/>
      <c r="N43" s="505">
        <f t="shared" si="2"/>
        <v>0</v>
      </c>
      <c r="O43" s="505">
        <f t="shared" si="3"/>
        <v>0</v>
      </c>
      <c r="P43" s="279"/>
    </row>
    <row r="44" spans="2:16">
      <c r="B44" s="145" t="str">
        <f t="shared" si="0"/>
        <v/>
      </c>
      <c r="C44" s="496">
        <f>IF(D11="","-",+C43+1)</f>
        <v>2044</v>
      </c>
      <c r="D44" s="509">
        <f>IF(F43+SUM(E$17:E43)=D$10,F43,D$10-SUM(E$17:E43))</f>
        <v>2303313.7630700781</v>
      </c>
      <c r="E44" s="510">
        <f t="shared" si="10"/>
        <v>283933.1176470588</v>
      </c>
      <c r="F44" s="511">
        <f t="shared" si="11"/>
        <v>2019380.6454230193</v>
      </c>
      <c r="G44" s="512">
        <f t="shared" si="12"/>
        <v>513937.52460158174</v>
      </c>
      <c r="H44" s="478">
        <f t="shared" si="13"/>
        <v>513937.52460158174</v>
      </c>
      <c r="I44" s="501">
        <f t="shared" si="4"/>
        <v>0</v>
      </c>
      <c r="J44" s="501"/>
      <c r="K44" s="513"/>
      <c r="L44" s="505">
        <f t="shared" si="1"/>
        <v>0</v>
      </c>
      <c r="M44" s="513"/>
      <c r="N44" s="505">
        <f t="shared" si="2"/>
        <v>0</v>
      </c>
      <c r="O44" s="505">
        <f t="shared" si="3"/>
        <v>0</v>
      </c>
      <c r="P44" s="279"/>
    </row>
    <row r="45" spans="2:16">
      <c r="B45" s="145" t="str">
        <f t="shared" si="0"/>
        <v/>
      </c>
      <c r="C45" s="496">
        <f>IF(D11="","-",+C44+1)</f>
        <v>2045</v>
      </c>
      <c r="D45" s="509">
        <f>IF(F44+SUM(E$17:E44)=D$10,F44,D$10-SUM(E$17:E44))</f>
        <v>2019380.6454230193</v>
      </c>
      <c r="E45" s="510">
        <f t="shared" si="10"/>
        <v>283933.1176470588</v>
      </c>
      <c r="F45" s="511">
        <f t="shared" si="11"/>
        <v>1735447.5277759605</v>
      </c>
      <c r="G45" s="512">
        <f t="shared" si="12"/>
        <v>483722.17178327951</v>
      </c>
      <c r="H45" s="478">
        <f t="shared" si="13"/>
        <v>483722.17178327951</v>
      </c>
      <c r="I45" s="501">
        <f t="shared" si="4"/>
        <v>0</v>
      </c>
      <c r="J45" s="501"/>
      <c r="K45" s="513"/>
      <c r="L45" s="505">
        <f t="shared" si="1"/>
        <v>0</v>
      </c>
      <c r="M45" s="513"/>
      <c r="N45" s="505">
        <f t="shared" si="2"/>
        <v>0</v>
      </c>
      <c r="O45" s="505">
        <f t="shared" si="3"/>
        <v>0</v>
      </c>
      <c r="P45" s="279"/>
    </row>
    <row r="46" spans="2:16">
      <c r="B46" s="145" t="str">
        <f t="shared" si="0"/>
        <v/>
      </c>
      <c r="C46" s="496">
        <f>IF(D11="","-",+C45+1)</f>
        <v>2046</v>
      </c>
      <c r="D46" s="509">
        <f>IF(F45+SUM(E$17:E45)=D$10,F45,D$10-SUM(E$17:E45))</f>
        <v>1735447.5277759605</v>
      </c>
      <c r="E46" s="510">
        <f t="shared" si="10"/>
        <v>283933.1176470588</v>
      </c>
      <c r="F46" s="511">
        <f t="shared" si="11"/>
        <v>1451514.4101289017</v>
      </c>
      <c r="G46" s="512">
        <f t="shared" si="12"/>
        <v>453506.81896497728</v>
      </c>
      <c r="H46" s="478">
        <f t="shared" si="13"/>
        <v>453506.81896497728</v>
      </c>
      <c r="I46" s="501">
        <f t="shared" si="4"/>
        <v>0</v>
      </c>
      <c r="J46" s="501"/>
      <c r="K46" s="513"/>
      <c r="L46" s="505">
        <f t="shared" si="1"/>
        <v>0</v>
      </c>
      <c r="M46" s="513"/>
      <c r="N46" s="505">
        <f t="shared" si="2"/>
        <v>0</v>
      </c>
      <c r="O46" s="505">
        <f t="shared" si="3"/>
        <v>0</v>
      </c>
      <c r="P46" s="279"/>
    </row>
    <row r="47" spans="2:16">
      <c r="B47" s="145" t="str">
        <f t="shared" si="0"/>
        <v/>
      </c>
      <c r="C47" s="496">
        <f>IF(D11="","-",+C46+1)</f>
        <v>2047</v>
      </c>
      <c r="D47" s="509">
        <f>IF(F46+SUM(E$17:E46)=D$10,F46,D$10-SUM(E$17:E46))</f>
        <v>1451514.4101289017</v>
      </c>
      <c r="E47" s="510">
        <f t="shared" si="10"/>
        <v>283933.1176470588</v>
      </c>
      <c r="F47" s="511">
        <f t="shared" si="11"/>
        <v>1167581.2924818429</v>
      </c>
      <c r="G47" s="512">
        <f t="shared" si="12"/>
        <v>423291.46614667505</v>
      </c>
      <c r="H47" s="478">
        <f t="shared" si="13"/>
        <v>423291.46614667505</v>
      </c>
      <c r="I47" s="501">
        <f t="shared" si="4"/>
        <v>0</v>
      </c>
      <c r="J47" s="501"/>
      <c r="K47" s="513"/>
      <c r="L47" s="505">
        <f t="shared" si="1"/>
        <v>0</v>
      </c>
      <c r="M47" s="513"/>
      <c r="N47" s="505">
        <f t="shared" si="2"/>
        <v>0</v>
      </c>
      <c r="O47" s="505">
        <f t="shared" si="3"/>
        <v>0</v>
      </c>
      <c r="P47" s="279"/>
    </row>
    <row r="48" spans="2:16">
      <c r="B48" s="145" t="str">
        <f t="shared" si="0"/>
        <v/>
      </c>
      <c r="C48" s="496">
        <f>IF(D11="","-",+C47+1)</f>
        <v>2048</v>
      </c>
      <c r="D48" s="509">
        <f>IF(F47+SUM(E$17:E47)=D$10,F47,D$10-SUM(E$17:E47))</f>
        <v>1167581.2924818378</v>
      </c>
      <c r="E48" s="510">
        <f t="shared" si="10"/>
        <v>283933.1176470588</v>
      </c>
      <c r="F48" s="511">
        <f t="shared" si="11"/>
        <v>883648.174834779</v>
      </c>
      <c r="G48" s="512">
        <f t="shared" si="12"/>
        <v>393076.11332837236</v>
      </c>
      <c r="H48" s="478">
        <f t="shared" si="13"/>
        <v>393076.11332837236</v>
      </c>
      <c r="I48" s="501">
        <f t="shared" si="4"/>
        <v>0</v>
      </c>
      <c r="J48" s="501"/>
      <c r="K48" s="513"/>
      <c r="L48" s="505">
        <f t="shared" si="1"/>
        <v>0</v>
      </c>
      <c r="M48" s="513"/>
      <c r="N48" s="505">
        <f t="shared" si="2"/>
        <v>0</v>
      </c>
      <c r="O48" s="505">
        <f t="shared" si="3"/>
        <v>0</v>
      </c>
      <c r="P48" s="279"/>
    </row>
    <row r="49" spans="2:16">
      <c r="B49" s="145" t="str">
        <f t="shared" si="0"/>
        <v/>
      </c>
      <c r="C49" s="496">
        <f>IF(D11="","-",+C48+1)</f>
        <v>2049</v>
      </c>
      <c r="D49" s="509">
        <f>IF(F48+SUM(E$17:E48)=D$10,F48,D$10-SUM(E$17:E48))</f>
        <v>883648.174834779</v>
      </c>
      <c r="E49" s="510">
        <f t="shared" si="10"/>
        <v>283933.1176470588</v>
      </c>
      <c r="F49" s="511">
        <f t="shared" si="11"/>
        <v>599715.0571877202</v>
      </c>
      <c r="G49" s="512">
        <f t="shared" ref="G49:G71" si="14">(D49+F49)/2*I$12+E49</f>
        <v>362860.76051007013</v>
      </c>
      <c r="H49" s="478">
        <f t="shared" ref="H49:H71" si="15">+(D49+F49)/2*I$13+E49</f>
        <v>362860.76051007013</v>
      </c>
      <c r="I49" s="501">
        <f t="shared" si="4"/>
        <v>0</v>
      </c>
      <c r="J49" s="501"/>
      <c r="K49" s="513"/>
      <c r="L49" s="505">
        <f t="shared" si="1"/>
        <v>0</v>
      </c>
      <c r="M49" s="513"/>
      <c r="N49" s="505">
        <f t="shared" si="2"/>
        <v>0</v>
      </c>
      <c r="O49" s="505">
        <f t="shared" si="3"/>
        <v>0</v>
      </c>
      <c r="P49" s="279"/>
    </row>
    <row r="50" spans="2:16">
      <c r="B50" s="145" t="str">
        <f t="shared" si="0"/>
        <v/>
      </c>
      <c r="C50" s="496">
        <f>IF(D11="","-",+C49+1)</f>
        <v>2050</v>
      </c>
      <c r="D50" s="509">
        <f>IF(F49+SUM(E$17:E49)=D$10,F49,D$10-SUM(E$17:E49))</f>
        <v>599715.0571877202</v>
      </c>
      <c r="E50" s="510">
        <f t="shared" ref="E50:E71" si="16">IF(+I$14&lt;F49,I$14,D50)</f>
        <v>283933.1176470588</v>
      </c>
      <c r="F50" s="511">
        <f t="shared" si="11"/>
        <v>315781.93954066141</v>
      </c>
      <c r="G50" s="512">
        <f t="shared" si="14"/>
        <v>332645.40769176796</v>
      </c>
      <c r="H50" s="478">
        <f t="shared" si="15"/>
        <v>332645.40769176796</v>
      </c>
      <c r="I50" s="501">
        <f t="shared" si="4"/>
        <v>0</v>
      </c>
      <c r="J50" s="501"/>
      <c r="K50" s="513"/>
      <c r="L50" s="505">
        <f t="shared" si="1"/>
        <v>0</v>
      </c>
      <c r="M50" s="513"/>
      <c r="N50" s="505">
        <f t="shared" si="2"/>
        <v>0</v>
      </c>
      <c r="O50" s="505">
        <f t="shared" si="3"/>
        <v>0</v>
      </c>
      <c r="P50" s="279"/>
    </row>
    <row r="51" spans="2:16">
      <c r="B51" s="145" t="str">
        <f t="shared" si="0"/>
        <v/>
      </c>
      <c r="C51" s="496">
        <f>IF(D11="","-",+C50+1)</f>
        <v>2051</v>
      </c>
      <c r="D51" s="509">
        <f>IF(F50+SUM(E$17:E50)=D$10,F50,D$10-SUM(E$17:E50))</f>
        <v>315781.93954066141</v>
      </c>
      <c r="E51" s="510">
        <f t="shared" si="16"/>
        <v>283933.1176470588</v>
      </c>
      <c r="F51" s="511">
        <f t="shared" si="11"/>
        <v>31848.82189360261</v>
      </c>
      <c r="G51" s="512">
        <f t="shared" si="14"/>
        <v>302430.05487346573</v>
      </c>
      <c r="H51" s="478">
        <f t="shared" si="15"/>
        <v>302430.05487346573</v>
      </c>
      <c r="I51" s="501">
        <f t="shared" si="4"/>
        <v>0</v>
      </c>
      <c r="J51" s="501"/>
      <c r="K51" s="513"/>
      <c r="L51" s="505">
        <f t="shared" si="1"/>
        <v>0</v>
      </c>
      <c r="M51" s="513"/>
      <c r="N51" s="505">
        <f t="shared" si="2"/>
        <v>0</v>
      </c>
      <c r="O51" s="505">
        <f t="shared" si="3"/>
        <v>0</v>
      </c>
      <c r="P51" s="279"/>
    </row>
    <row r="52" spans="2:16">
      <c r="B52" s="145" t="str">
        <f t="shared" si="0"/>
        <v/>
      </c>
      <c r="C52" s="496">
        <f>IF(D11="","-",+C51+1)</f>
        <v>2052</v>
      </c>
      <c r="D52" s="509">
        <f>IF(F51+SUM(E$17:E51)=D$10,F51,D$10-SUM(E$17:E51))</f>
        <v>31848.82189360261</v>
      </c>
      <c r="E52" s="510">
        <f t="shared" si="16"/>
        <v>31848.82189360261</v>
      </c>
      <c r="F52" s="511">
        <f t="shared" si="11"/>
        <v>0</v>
      </c>
      <c r="G52" s="512">
        <f t="shared" si="14"/>
        <v>33543.452302230529</v>
      </c>
      <c r="H52" s="478">
        <f t="shared" si="15"/>
        <v>33543.452302230529</v>
      </c>
      <c r="I52" s="501">
        <f t="shared" si="4"/>
        <v>0</v>
      </c>
      <c r="J52" s="501"/>
      <c r="K52" s="513"/>
      <c r="L52" s="505">
        <f t="shared" si="1"/>
        <v>0</v>
      </c>
      <c r="M52" s="513"/>
      <c r="N52" s="505">
        <f t="shared" si="2"/>
        <v>0</v>
      </c>
      <c r="O52" s="505">
        <f t="shared" si="3"/>
        <v>0</v>
      </c>
      <c r="P52" s="279"/>
    </row>
    <row r="53" spans="2:16">
      <c r="B53" s="145" t="str">
        <f t="shared" si="0"/>
        <v/>
      </c>
      <c r="C53" s="496">
        <f>IF(D11="","-",+C52+1)</f>
        <v>2053</v>
      </c>
      <c r="D53" s="509">
        <f>IF(F52+SUM(E$17:E52)=D$10,F52,D$10-SUM(E$17:E52))</f>
        <v>0</v>
      </c>
      <c r="E53" s="510">
        <f t="shared" si="16"/>
        <v>0</v>
      </c>
      <c r="F53" s="511">
        <f t="shared" si="11"/>
        <v>0</v>
      </c>
      <c r="G53" s="512">
        <f t="shared" si="14"/>
        <v>0</v>
      </c>
      <c r="H53" s="478">
        <f t="shared" si="15"/>
        <v>0</v>
      </c>
      <c r="I53" s="501">
        <f t="shared" si="4"/>
        <v>0</v>
      </c>
      <c r="J53" s="501"/>
      <c r="K53" s="513"/>
      <c r="L53" s="505">
        <f t="shared" si="1"/>
        <v>0</v>
      </c>
      <c r="M53" s="513"/>
      <c r="N53" s="505">
        <f t="shared" si="2"/>
        <v>0</v>
      </c>
      <c r="O53" s="505">
        <f t="shared" si="3"/>
        <v>0</v>
      </c>
      <c r="P53" s="279"/>
    </row>
    <row r="54" spans="2:16">
      <c r="B54" s="145" t="str">
        <f t="shared" si="0"/>
        <v/>
      </c>
      <c r="C54" s="496">
        <f>IF(D11="","-",+C53+1)</f>
        <v>2054</v>
      </c>
      <c r="D54" s="509">
        <f>IF(F53+SUM(E$17:E53)=D$10,F53,D$10-SUM(E$17:E53))</f>
        <v>0</v>
      </c>
      <c r="E54" s="510">
        <f t="shared" si="16"/>
        <v>0</v>
      </c>
      <c r="F54" s="511">
        <f t="shared" si="11"/>
        <v>0</v>
      </c>
      <c r="G54" s="512">
        <f t="shared" si="14"/>
        <v>0</v>
      </c>
      <c r="H54" s="478">
        <f t="shared" si="15"/>
        <v>0</v>
      </c>
      <c r="I54" s="501">
        <f t="shared" si="4"/>
        <v>0</v>
      </c>
      <c r="J54" s="501"/>
      <c r="K54" s="513"/>
      <c r="L54" s="505">
        <f t="shared" si="1"/>
        <v>0</v>
      </c>
      <c r="M54" s="513"/>
      <c r="N54" s="505">
        <f t="shared" si="2"/>
        <v>0</v>
      </c>
      <c r="O54" s="505">
        <f t="shared" si="3"/>
        <v>0</v>
      </c>
      <c r="P54" s="279"/>
    </row>
    <row r="55" spans="2:16">
      <c r="B55" s="145" t="str">
        <f t="shared" si="0"/>
        <v/>
      </c>
      <c r="C55" s="496">
        <f>IF(D11="","-",+C54+1)</f>
        <v>2055</v>
      </c>
      <c r="D55" s="509">
        <f>IF(F54+SUM(E$17:E54)=D$10,F54,D$10-SUM(E$17:E54))</f>
        <v>0</v>
      </c>
      <c r="E55" s="510">
        <f t="shared" si="16"/>
        <v>0</v>
      </c>
      <c r="F55" s="511">
        <f t="shared" si="11"/>
        <v>0</v>
      </c>
      <c r="G55" s="512">
        <f t="shared" si="14"/>
        <v>0</v>
      </c>
      <c r="H55" s="478">
        <f t="shared" si="15"/>
        <v>0</v>
      </c>
      <c r="I55" s="501">
        <f t="shared" si="4"/>
        <v>0</v>
      </c>
      <c r="J55" s="501"/>
      <c r="K55" s="513"/>
      <c r="L55" s="505">
        <f t="shared" si="1"/>
        <v>0</v>
      </c>
      <c r="M55" s="513"/>
      <c r="N55" s="505">
        <f t="shared" si="2"/>
        <v>0</v>
      </c>
      <c r="O55" s="505">
        <f t="shared" si="3"/>
        <v>0</v>
      </c>
      <c r="P55" s="279"/>
    </row>
    <row r="56" spans="2:16">
      <c r="B56" s="145" t="str">
        <f t="shared" si="0"/>
        <v/>
      </c>
      <c r="C56" s="496">
        <f>IF(D11="","-",+C55+1)</f>
        <v>2056</v>
      </c>
      <c r="D56" s="509">
        <f>IF(F55+SUM(E$17:E55)=D$10,F55,D$10-SUM(E$17:E55))</f>
        <v>0</v>
      </c>
      <c r="E56" s="510">
        <f t="shared" si="16"/>
        <v>0</v>
      </c>
      <c r="F56" s="511">
        <f t="shared" si="11"/>
        <v>0</v>
      </c>
      <c r="G56" s="512">
        <f t="shared" si="14"/>
        <v>0</v>
      </c>
      <c r="H56" s="478">
        <f t="shared" si="15"/>
        <v>0</v>
      </c>
      <c r="I56" s="501">
        <f t="shared" si="4"/>
        <v>0</v>
      </c>
      <c r="J56" s="501"/>
      <c r="K56" s="513"/>
      <c r="L56" s="505">
        <f t="shared" si="1"/>
        <v>0</v>
      </c>
      <c r="M56" s="513"/>
      <c r="N56" s="505">
        <f t="shared" si="2"/>
        <v>0</v>
      </c>
      <c r="O56" s="505">
        <f t="shared" si="3"/>
        <v>0</v>
      </c>
      <c r="P56" s="279"/>
    </row>
    <row r="57" spans="2:16">
      <c r="B57" s="145" t="str">
        <f t="shared" si="0"/>
        <v/>
      </c>
      <c r="C57" s="496">
        <f>IF(D11="","-",+C56+1)</f>
        <v>2057</v>
      </c>
      <c r="D57" s="509">
        <f>IF(F56+SUM(E$17:E56)=D$10,F56,D$10-SUM(E$17:E56))</f>
        <v>0</v>
      </c>
      <c r="E57" s="510">
        <f t="shared" si="16"/>
        <v>0</v>
      </c>
      <c r="F57" s="511">
        <f t="shared" si="11"/>
        <v>0</v>
      </c>
      <c r="G57" s="512">
        <f t="shared" si="14"/>
        <v>0</v>
      </c>
      <c r="H57" s="478">
        <f t="shared" si="15"/>
        <v>0</v>
      </c>
      <c r="I57" s="501">
        <f t="shared" si="4"/>
        <v>0</v>
      </c>
      <c r="J57" s="501"/>
      <c r="K57" s="513"/>
      <c r="L57" s="505">
        <f t="shared" si="1"/>
        <v>0</v>
      </c>
      <c r="M57" s="513"/>
      <c r="N57" s="505">
        <f t="shared" si="2"/>
        <v>0</v>
      </c>
      <c r="O57" s="505">
        <f t="shared" si="3"/>
        <v>0</v>
      </c>
      <c r="P57" s="279"/>
    </row>
    <row r="58" spans="2:16">
      <c r="B58" s="145" t="str">
        <f t="shared" si="0"/>
        <v/>
      </c>
      <c r="C58" s="496">
        <f>IF(D11="","-",+C57+1)</f>
        <v>2058</v>
      </c>
      <c r="D58" s="509">
        <f>IF(F57+SUM(E$17:E57)=D$10,F57,D$10-SUM(E$17:E57))</f>
        <v>0</v>
      </c>
      <c r="E58" s="510">
        <f t="shared" si="16"/>
        <v>0</v>
      </c>
      <c r="F58" s="511">
        <f t="shared" si="11"/>
        <v>0</v>
      </c>
      <c r="G58" s="512">
        <f t="shared" si="14"/>
        <v>0</v>
      </c>
      <c r="H58" s="478">
        <f t="shared" si="15"/>
        <v>0</v>
      </c>
      <c r="I58" s="501">
        <f t="shared" si="4"/>
        <v>0</v>
      </c>
      <c r="J58" s="501"/>
      <c r="K58" s="513"/>
      <c r="L58" s="505">
        <f t="shared" si="1"/>
        <v>0</v>
      </c>
      <c r="M58" s="513"/>
      <c r="N58" s="505">
        <f t="shared" si="2"/>
        <v>0</v>
      </c>
      <c r="O58" s="505">
        <f t="shared" si="3"/>
        <v>0</v>
      </c>
      <c r="P58" s="279"/>
    </row>
    <row r="59" spans="2:16">
      <c r="B59" s="145" t="str">
        <f t="shared" si="0"/>
        <v/>
      </c>
      <c r="C59" s="496">
        <f>IF(D11="","-",+C58+1)</f>
        <v>2059</v>
      </c>
      <c r="D59" s="509">
        <f>IF(F58+SUM(E$17:E58)=D$10,F58,D$10-SUM(E$17:E58))</f>
        <v>0</v>
      </c>
      <c r="E59" s="510">
        <f t="shared" si="16"/>
        <v>0</v>
      </c>
      <c r="F59" s="511">
        <f t="shared" si="11"/>
        <v>0</v>
      </c>
      <c r="G59" s="512">
        <f t="shared" si="14"/>
        <v>0</v>
      </c>
      <c r="H59" s="478">
        <f t="shared" si="15"/>
        <v>0</v>
      </c>
      <c r="I59" s="501">
        <f t="shared" si="4"/>
        <v>0</v>
      </c>
      <c r="J59" s="501"/>
      <c r="K59" s="513"/>
      <c r="L59" s="505">
        <f t="shared" si="1"/>
        <v>0</v>
      </c>
      <c r="M59" s="513"/>
      <c r="N59" s="505">
        <f t="shared" si="2"/>
        <v>0</v>
      </c>
      <c r="O59" s="505">
        <f t="shared" si="3"/>
        <v>0</v>
      </c>
      <c r="P59" s="279"/>
    </row>
    <row r="60" spans="2:16">
      <c r="B60" s="145" t="str">
        <f t="shared" si="0"/>
        <v/>
      </c>
      <c r="C60" s="496">
        <f>IF(D11="","-",+C59+1)</f>
        <v>2060</v>
      </c>
      <c r="D60" s="509">
        <f>IF(F59+SUM(E$17:E59)=D$10,F59,D$10-SUM(E$17:E59))</f>
        <v>0</v>
      </c>
      <c r="E60" s="510">
        <f t="shared" si="16"/>
        <v>0</v>
      </c>
      <c r="F60" s="511">
        <f t="shared" si="11"/>
        <v>0</v>
      </c>
      <c r="G60" s="512">
        <f t="shared" si="14"/>
        <v>0</v>
      </c>
      <c r="H60" s="478">
        <f t="shared" si="15"/>
        <v>0</v>
      </c>
      <c r="I60" s="501">
        <f t="shared" si="4"/>
        <v>0</v>
      </c>
      <c r="J60" s="501"/>
      <c r="K60" s="513"/>
      <c r="L60" s="505">
        <f t="shared" si="1"/>
        <v>0</v>
      </c>
      <c r="M60" s="513"/>
      <c r="N60" s="505">
        <f t="shared" si="2"/>
        <v>0</v>
      </c>
      <c r="O60" s="505">
        <f t="shared" si="3"/>
        <v>0</v>
      </c>
      <c r="P60" s="279"/>
    </row>
    <row r="61" spans="2:16">
      <c r="B61" s="145" t="str">
        <f t="shared" si="0"/>
        <v/>
      </c>
      <c r="C61" s="496">
        <f>IF(D11="","-",+C60+1)</f>
        <v>2061</v>
      </c>
      <c r="D61" s="509">
        <f>IF(F60+SUM(E$17:E60)=D$10,F60,D$10-SUM(E$17:E60))</f>
        <v>0</v>
      </c>
      <c r="E61" s="510">
        <f t="shared" si="16"/>
        <v>0</v>
      </c>
      <c r="F61" s="511">
        <f t="shared" si="11"/>
        <v>0</v>
      </c>
      <c r="G61" s="524">
        <f t="shared" si="14"/>
        <v>0</v>
      </c>
      <c r="H61" s="478">
        <f t="shared" si="15"/>
        <v>0</v>
      </c>
      <c r="I61" s="501">
        <f t="shared" si="4"/>
        <v>0</v>
      </c>
      <c r="J61" s="501"/>
      <c r="K61" s="513"/>
      <c r="L61" s="505">
        <f t="shared" si="1"/>
        <v>0</v>
      </c>
      <c r="M61" s="513"/>
      <c r="N61" s="505">
        <f t="shared" si="2"/>
        <v>0</v>
      </c>
      <c r="O61" s="505">
        <f t="shared" si="3"/>
        <v>0</v>
      </c>
      <c r="P61" s="279"/>
    </row>
    <row r="62" spans="2:16">
      <c r="B62" s="145" t="str">
        <f t="shared" si="0"/>
        <v/>
      </c>
      <c r="C62" s="496">
        <f>IF(D11="","-",+C61+1)</f>
        <v>2062</v>
      </c>
      <c r="D62" s="509">
        <f>IF(F61+SUM(E$17:E61)=D$10,F61,D$10-SUM(E$17:E61))</f>
        <v>0</v>
      </c>
      <c r="E62" s="510">
        <f t="shared" si="16"/>
        <v>0</v>
      </c>
      <c r="F62" s="511">
        <f t="shared" si="11"/>
        <v>0</v>
      </c>
      <c r="G62" s="524">
        <f t="shared" si="14"/>
        <v>0</v>
      </c>
      <c r="H62" s="478">
        <f t="shared" si="15"/>
        <v>0</v>
      </c>
      <c r="I62" s="501">
        <f t="shared" si="4"/>
        <v>0</v>
      </c>
      <c r="J62" s="501"/>
      <c r="K62" s="513"/>
      <c r="L62" s="505">
        <f t="shared" si="1"/>
        <v>0</v>
      </c>
      <c r="M62" s="513"/>
      <c r="N62" s="505">
        <f t="shared" si="2"/>
        <v>0</v>
      </c>
      <c r="O62" s="505">
        <f t="shared" si="3"/>
        <v>0</v>
      </c>
      <c r="P62" s="279"/>
    </row>
    <row r="63" spans="2:16">
      <c r="B63" s="145" t="str">
        <f t="shared" si="0"/>
        <v/>
      </c>
      <c r="C63" s="496">
        <f>IF(D11="","-",+C62+1)</f>
        <v>2063</v>
      </c>
      <c r="D63" s="509">
        <f>IF(F62+SUM(E$17:E62)=D$10,F62,D$10-SUM(E$17:E62))</f>
        <v>0</v>
      </c>
      <c r="E63" s="510">
        <f t="shared" si="16"/>
        <v>0</v>
      </c>
      <c r="F63" s="511">
        <f t="shared" si="11"/>
        <v>0</v>
      </c>
      <c r="G63" s="524">
        <f t="shared" si="14"/>
        <v>0</v>
      </c>
      <c r="H63" s="478">
        <f t="shared" si="15"/>
        <v>0</v>
      </c>
      <c r="I63" s="501">
        <f t="shared" si="4"/>
        <v>0</v>
      </c>
      <c r="J63" s="501"/>
      <c r="K63" s="513"/>
      <c r="L63" s="505">
        <f t="shared" si="1"/>
        <v>0</v>
      </c>
      <c r="M63" s="513"/>
      <c r="N63" s="505">
        <f t="shared" si="2"/>
        <v>0</v>
      </c>
      <c r="O63" s="505">
        <f t="shared" si="3"/>
        <v>0</v>
      </c>
      <c r="P63" s="279"/>
    </row>
    <row r="64" spans="2:16">
      <c r="B64" s="145" t="str">
        <f t="shared" si="0"/>
        <v/>
      </c>
      <c r="C64" s="496">
        <f>IF(D11="","-",+C63+1)</f>
        <v>2064</v>
      </c>
      <c r="D64" s="509">
        <f>IF(F63+SUM(E$17:E63)=D$10,F63,D$10-SUM(E$17:E63))</f>
        <v>0</v>
      </c>
      <c r="E64" s="510">
        <f t="shared" si="16"/>
        <v>0</v>
      </c>
      <c r="F64" s="511">
        <f t="shared" si="11"/>
        <v>0</v>
      </c>
      <c r="G64" s="524">
        <f t="shared" si="14"/>
        <v>0</v>
      </c>
      <c r="H64" s="478">
        <f t="shared" si="15"/>
        <v>0</v>
      </c>
      <c r="I64" s="501">
        <f t="shared" si="4"/>
        <v>0</v>
      </c>
      <c r="J64" s="501"/>
      <c r="K64" s="513"/>
      <c r="L64" s="505">
        <f t="shared" si="1"/>
        <v>0</v>
      </c>
      <c r="M64" s="513"/>
      <c r="N64" s="505">
        <f t="shared" si="2"/>
        <v>0</v>
      </c>
      <c r="O64" s="505">
        <f t="shared" si="3"/>
        <v>0</v>
      </c>
      <c r="P64" s="279"/>
    </row>
    <row r="65" spans="2:16">
      <c r="B65" s="145" t="str">
        <f t="shared" si="0"/>
        <v/>
      </c>
      <c r="C65" s="496">
        <f>IF(D11="","-",+C64+1)</f>
        <v>2065</v>
      </c>
      <c r="D65" s="509">
        <f>IF(F64+SUM(E$17:E64)=D$10,F64,D$10-SUM(E$17:E64))</f>
        <v>0</v>
      </c>
      <c r="E65" s="510">
        <f t="shared" si="16"/>
        <v>0</v>
      </c>
      <c r="F65" s="511">
        <f t="shared" si="11"/>
        <v>0</v>
      </c>
      <c r="G65" s="524">
        <f t="shared" si="14"/>
        <v>0</v>
      </c>
      <c r="H65" s="478">
        <f t="shared" si="15"/>
        <v>0</v>
      </c>
      <c r="I65" s="501">
        <f t="shared" si="4"/>
        <v>0</v>
      </c>
      <c r="J65" s="501"/>
      <c r="K65" s="513"/>
      <c r="L65" s="505">
        <f t="shared" si="1"/>
        <v>0</v>
      </c>
      <c r="M65" s="513"/>
      <c r="N65" s="505">
        <f t="shared" si="2"/>
        <v>0</v>
      </c>
      <c r="O65" s="505">
        <f t="shared" si="3"/>
        <v>0</v>
      </c>
      <c r="P65" s="279"/>
    </row>
    <row r="66" spans="2:16">
      <c r="B66" s="145" t="str">
        <f t="shared" si="0"/>
        <v/>
      </c>
      <c r="C66" s="496">
        <f>IF(D11="","-",+C65+1)</f>
        <v>2066</v>
      </c>
      <c r="D66" s="509">
        <f>IF(F65+SUM(E$17:E65)=D$10,F65,D$10-SUM(E$17:E65))</f>
        <v>0</v>
      </c>
      <c r="E66" s="510">
        <f t="shared" si="16"/>
        <v>0</v>
      </c>
      <c r="F66" s="511">
        <f t="shared" si="11"/>
        <v>0</v>
      </c>
      <c r="G66" s="524">
        <f t="shared" si="14"/>
        <v>0</v>
      </c>
      <c r="H66" s="478">
        <f t="shared" si="15"/>
        <v>0</v>
      </c>
      <c r="I66" s="501">
        <f t="shared" si="4"/>
        <v>0</v>
      </c>
      <c r="J66" s="501"/>
      <c r="K66" s="513"/>
      <c r="L66" s="505">
        <f t="shared" si="1"/>
        <v>0</v>
      </c>
      <c r="M66" s="513"/>
      <c r="N66" s="505">
        <f t="shared" si="2"/>
        <v>0</v>
      </c>
      <c r="O66" s="505">
        <f t="shared" si="3"/>
        <v>0</v>
      </c>
      <c r="P66" s="279"/>
    </row>
    <row r="67" spans="2:16">
      <c r="B67" s="145" t="str">
        <f t="shared" si="0"/>
        <v/>
      </c>
      <c r="C67" s="496">
        <f>IF(D11="","-",+C66+1)</f>
        <v>2067</v>
      </c>
      <c r="D67" s="509">
        <f>IF(F66+SUM(E$17:E66)=D$10,F66,D$10-SUM(E$17:E66))</f>
        <v>0</v>
      </c>
      <c r="E67" s="510">
        <f t="shared" si="16"/>
        <v>0</v>
      </c>
      <c r="F67" s="511">
        <f t="shared" si="11"/>
        <v>0</v>
      </c>
      <c r="G67" s="524">
        <f t="shared" si="14"/>
        <v>0</v>
      </c>
      <c r="H67" s="478">
        <f t="shared" si="15"/>
        <v>0</v>
      </c>
      <c r="I67" s="501">
        <f t="shared" si="4"/>
        <v>0</v>
      </c>
      <c r="J67" s="501"/>
      <c r="K67" s="513"/>
      <c r="L67" s="505">
        <f t="shared" si="1"/>
        <v>0</v>
      </c>
      <c r="M67" s="513"/>
      <c r="N67" s="505">
        <f t="shared" si="2"/>
        <v>0</v>
      </c>
      <c r="O67" s="505">
        <f t="shared" si="3"/>
        <v>0</v>
      </c>
      <c r="P67" s="279"/>
    </row>
    <row r="68" spans="2:16">
      <c r="B68" s="145" t="str">
        <f t="shared" si="0"/>
        <v/>
      </c>
      <c r="C68" s="496">
        <f>IF(D11="","-",+C67+1)</f>
        <v>2068</v>
      </c>
      <c r="D68" s="509">
        <f>IF(F67+SUM(E$17:E67)=D$10,F67,D$10-SUM(E$17:E67))</f>
        <v>0</v>
      </c>
      <c r="E68" s="510">
        <f t="shared" si="16"/>
        <v>0</v>
      </c>
      <c r="F68" s="511">
        <f t="shared" si="11"/>
        <v>0</v>
      </c>
      <c r="G68" s="524">
        <f t="shared" si="14"/>
        <v>0</v>
      </c>
      <c r="H68" s="478">
        <f t="shared" si="15"/>
        <v>0</v>
      </c>
      <c r="I68" s="501">
        <f t="shared" si="4"/>
        <v>0</v>
      </c>
      <c r="J68" s="501"/>
      <c r="K68" s="513"/>
      <c r="L68" s="505">
        <f t="shared" si="1"/>
        <v>0</v>
      </c>
      <c r="M68" s="513"/>
      <c r="N68" s="505">
        <f t="shared" si="2"/>
        <v>0</v>
      </c>
      <c r="O68" s="505">
        <f t="shared" si="3"/>
        <v>0</v>
      </c>
      <c r="P68" s="279"/>
    </row>
    <row r="69" spans="2:16">
      <c r="B69" s="145" t="str">
        <f t="shared" si="0"/>
        <v/>
      </c>
      <c r="C69" s="496">
        <f>IF(D11="","-",+C68+1)</f>
        <v>2069</v>
      </c>
      <c r="D69" s="509">
        <f>IF(F68+SUM(E$17:E68)=D$10,F68,D$10-SUM(E$17:E68))</f>
        <v>0</v>
      </c>
      <c r="E69" s="510">
        <f t="shared" si="16"/>
        <v>0</v>
      </c>
      <c r="F69" s="511">
        <f t="shared" si="11"/>
        <v>0</v>
      </c>
      <c r="G69" s="524">
        <f t="shared" si="14"/>
        <v>0</v>
      </c>
      <c r="H69" s="478">
        <f t="shared" si="15"/>
        <v>0</v>
      </c>
      <c r="I69" s="501">
        <f t="shared" si="4"/>
        <v>0</v>
      </c>
      <c r="J69" s="501"/>
      <c r="K69" s="513"/>
      <c r="L69" s="505">
        <f t="shared" si="1"/>
        <v>0</v>
      </c>
      <c r="M69" s="513"/>
      <c r="N69" s="505">
        <f t="shared" si="2"/>
        <v>0</v>
      </c>
      <c r="O69" s="505">
        <f t="shared" si="3"/>
        <v>0</v>
      </c>
      <c r="P69" s="279"/>
    </row>
    <row r="70" spans="2:16">
      <c r="B70" s="145" t="str">
        <f t="shared" si="0"/>
        <v/>
      </c>
      <c r="C70" s="496">
        <f>IF(D11="","-",+C69+1)</f>
        <v>2070</v>
      </c>
      <c r="D70" s="509">
        <f>IF(F69+SUM(E$17:E69)=D$10,F69,D$10-SUM(E$17:E69))</f>
        <v>0</v>
      </c>
      <c r="E70" s="510">
        <f t="shared" si="16"/>
        <v>0</v>
      </c>
      <c r="F70" s="511">
        <f t="shared" si="11"/>
        <v>0</v>
      </c>
      <c r="G70" s="524">
        <f t="shared" si="14"/>
        <v>0</v>
      </c>
      <c r="H70" s="478">
        <f t="shared" si="15"/>
        <v>0</v>
      </c>
      <c r="I70" s="501">
        <f t="shared" si="4"/>
        <v>0</v>
      </c>
      <c r="J70" s="501"/>
      <c r="K70" s="513"/>
      <c r="L70" s="505">
        <f t="shared" si="1"/>
        <v>0</v>
      </c>
      <c r="M70" s="513"/>
      <c r="N70" s="505">
        <f t="shared" si="2"/>
        <v>0</v>
      </c>
      <c r="O70" s="505">
        <f t="shared" si="3"/>
        <v>0</v>
      </c>
      <c r="P70" s="279"/>
    </row>
    <row r="71" spans="2:16">
      <c r="B71" s="145" t="str">
        <f t="shared" si="0"/>
        <v/>
      </c>
      <c r="C71" s="496">
        <f>IF(D11="","-",+C70+1)</f>
        <v>2071</v>
      </c>
      <c r="D71" s="509">
        <f>IF(F70+SUM(E$17:E70)=D$10,F70,D$10-SUM(E$17:E70))</f>
        <v>0</v>
      </c>
      <c r="E71" s="510">
        <f t="shared" si="16"/>
        <v>0</v>
      </c>
      <c r="F71" s="511">
        <f t="shared" si="11"/>
        <v>0</v>
      </c>
      <c r="G71" s="524">
        <f t="shared" si="14"/>
        <v>0</v>
      </c>
      <c r="H71" s="478">
        <f t="shared" si="15"/>
        <v>0</v>
      </c>
      <c r="I71" s="501">
        <f t="shared" si="4"/>
        <v>0</v>
      </c>
      <c r="J71" s="501"/>
      <c r="K71" s="513"/>
      <c r="L71" s="505">
        <f t="shared" si="1"/>
        <v>0</v>
      </c>
      <c r="M71" s="513"/>
      <c r="N71" s="505">
        <f t="shared" si="2"/>
        <v>0</v>
      </c>
      <c r="O71" s="505">
        <f t="shared" si="3"/>
        <v>0</v>
      </c>
      <c r="P71" s="279"/>
    </row>
    <row r="72" spans="2:16">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9653726.0000000019</v>
      </c>
      <c r="F74" s="295"/>
      <c r="G74" s="295">
        <f>SUM(G17:G73)</f>
        <v>27744822.131110039</v>
      </c>
      <c r="H74" s="295">
        <f>SUM(H17:H73)</f>
        <v>27744822.131110039</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16 of 20</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2021</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1249589.4972268606</v>
      </c>
      <c r="N88" s="545">
        <f>IF(J93&lt;D11,0,VLOOKUP(J93,C17:O73,11))</f>
        <v>1249589.4972268606</v>
      </c>
      <c r="O88" s="546">
        <f>+N88-M88</f>
        <v>0</v>
      </c>
      <c r="P88" s="244"/>
    </row>
    <row r="89" spans="1:16" ht="15.75">
      <c r="C89" s="236"/>
      <c r="D89" s="293"/>
      <c r="E89" s="244"/>
      <c r="F89" s="244"/>
      <c r="G89" s="244"/>
      <c r="H89" s="244"/>
      <c r="I89" s="450"/>
      <c r="J89" s="450"/>
      <c r="K89" s="547"/>
      <c r="L89" s="548" t="s">
        <v>254</v>
      </c>
      <c r="M89" s="549">
        <f>IF(J93&lt;D11,0,VLOOKUP(J93,C100:P155,6))</f>
        <v>1386953.616675766</v>
      </c>
      <c r="N89" s="549">
        <f>IF(J93&lt;D11,0,VLOOKUP(J93,C100:P155,7))</f>
        <v>1386953.616675766</v>
      </c>
      <c r="O89" s="550">
        <f>+N89-M89</f>
        <v>0</v>
      </c>
      <c r="P89" s="244"/>
    </row>
    <row r="90" spans="1:16" ht="13.5" thickBot="1">
      <c r="C90" s="455" t="s">
        <v>82</v>
      </c>
      <c r="D90" s="551" t="str">
        <f>+D7</f>
        <v>Carnegie South-Southwestern 123 kv line rebuild</v>
      </c>
      <c r="E90" s="244"/>
      <c r="F90" s="244"/>
      <c r="G90" s="244"/>
      <c r="H90" s="244"/>
      <c r="I90" s="326"/>
      <c r="J90" s="326"/>
      <c r="K90" s="552"/>
      <c r="L90" s="553" t="s">
        <v>135</v>
      </c>
      <c r="M90" s="554">
        <f>+M89-M88</f>
        <v>137364.11944890535</v>
      </c>
      <c r="N90" s="554">
        <f>+N89-N88</f>
        <v>137364.11944890535</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2014207</v>
      </c>
      <c r="E92" s="559"/>
      <c r="F92" s="559"/>
      <c r="G92" s="559"/>
      <c r="H92" s="559"/>
      <c r="I92" s="559"/>
      <c r="J92" s="559"/>
      <c r="K92" s="561"/>
      <c r="P92" s="469"/>
    </row>
    <row r="93" spans="1:16">
      <c r="C93" s="473" t="s">
        <v>49</v>
      </c>
      <c r="D93" s="471">
        <v>9653726</v>
      </c>
      <c r="E93" s="249" t="s">
        <v>84</v>
      </c>
      <c r="H93" s="409"/>
      <c r="I93" s="409"/>
      <c r="J93" s="472">
        <f>+'OKT.WS.G.BPU.ATRR.True-up'!M16</f>
        <v>2021</v>
      </c>
      <c r="K93" s="468"/>
      <c r="L93" s="295" t="s">
        <v>85</v>
      </c>
      <c r="P93" s="279"/>
    </row>
    <row r="94" spans="1:16">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471">
        <f>IF(D11=I10,"",D12)</f>
        <v>7</v>
      </c>
      <c r="E95" s="473" t="s">
        <v>55</v>
      </c>
      <c r="F95" s="409"/>
      <c r="G95" s="409"/>
      <c r="J95" s="477">
        <f>'OKT.WS.G.BPU.ATRR.True-up'!$F$81</f>
        <v>0.11796201313639214</v>
      </c>
      <c r="K95" s="414"/>
      <c r="L95" s="145" t="s">
        <v>86</v>
      </c>
      <c r="P95" s="279"/>
    </row>
    <row r="96" spans="1:16">
      <c r="C96" s="473" t="s">
        <v>57</v>
      </c>
      <c r="D96" s="475">
        <f>'OKT.WS.G.BPU.ATRR.True-up'!F$93</f>
        <v>25</v>
      </c>
      <c r="E96" s="473" t="s">
        <v>58</v>
      </c>
      <c r="F96" s="409"/>
      <c r="G96" s="409"/>
      <c r="J96" s="477">
        <f>IF(H88="",J95,'OKT.WS.G.BPU.ATRR.True-up'!$F$80)</f>
        <v>0.11796201313639214</v>
      </c>
      <c r="K96" s="292"/>
      <c r="L96" s="295" t="s">
        <v>59</v>
      </c>
      <c r="M96" s="292"/>
      <c r="N96" s="292"/>
      <c r="O96" s="292"/>
      <c r="P96" s="279"/>
    </row>
    <row r="97" spans="1:16" ht="13.5" thickBot="1">
      <c r="C97" s="473" t="s">
        <v>60</v>
      </c>
      <c r="D97" s="474" t="str">
        <f>+D14</f>
        <v>No</v>
      </c>
      <c r="E97" s="564" t="s">
        <v>62</v>
      </c>
      <c r="F97" s="565"/>
      <c r="G97" s="565"/>
      <c r="H97" s="566"/>
      <c r="I97" s="566"/>
      <c r="J97" s="459">
        <f>IF(D93=0,0,D93/D96)</f>
        <v>386149.04</v>
      </c>
      <c r="K97" s="295"/>
      <c r="L97" s="295"/>
      <c r="M97" s="295"/>
      <c r="N97" s="295"/>
      <c r="O97" s="295"/>
      <c r="P97" s="279"/>
    </row>
    <row r="98" spans="1:16"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c r="B100" s="145" t="str">
        <f t="shared" ref="B100:B155" si="17">IF(D100=F99,"","IU")</f>
        <v>IU</v>
      </c>
      <c r="C100" s="496">
        <f>IF(D94= "","-",D94)</f>
        <v>2017</v>
      </c>
      <c r="D100" s="497">
        <v>0</v>
      </c>
      <c r="E100" s="499">
        <v>99561.5625</v>
      </c>
      <c r="F100" s="506">
        <v>9458348.4375</v>
      </c>
      <c r="G100" s="506">
        <v>4729174.21875</v>
      </c>
      <c r="H100" s="499">
        <v>654463.30646394705</v>
      </c>
      <c r="I100" s="500">
        <v>654463.30646394705</v>
      </c>
      <c r="J100" s="505">
        <f t="shared" ref="J100:J131" si="18">+I100-H100</f>
        <v>0</v>
      </c>
      <c r="K100" s="505"/>
      <c r="L100" s="507">
        <f>+H100</f>
        <v>654463.30646394705</v>
      </c>
      <c r="M100" s="505">
        <f t="shared" ref="M100:M131" si="19">IF(L100&lt;&gt;0,+H100-L100,0)</f>
        <v>0</v>
      </c>
      <c r="N100" s="507">
        <f>+I100</f>
        <v>654463.30646394705</v>
      </c>
      <c r="O100" s="587">
        <f t="shared" ref="O100:O131" si="20">IF(N100&lt;&gt;0,+I100-N100,0)</f>
        <v>0</v>
      </c>
      <c r="P100" s="505">
        <f t="shared" ref="P100:P131" si="21">+O100-M100</f>
        <v>0</v>
      </c>
    </row>
    <row r="101" spans="1:16">
      <c r="B101" s="145" t="str">
        <f t="shared" si="17"/>
        <v/>
      </c>
      <c r="C101" s="496">
        <f>IF(D94="","-",+C100+1)</f>
        <v>2018</v>
      </c>
      <c r="D101" s="497">
        <v>9458348.4375</v>
      </c>
      <c r="E101" s="499">
        <v>265497.5</v>
      </c>
      <c r="F101" s="506">
        <v>9192850.9375</v>
      </c>
      <c r="G101" s="506">
        <v>9325599.6875</v>
      </c>
      <c r="H101" s="499">
        <v>1249930.642330141</v>
      </c>
      <c r="I101" s="500">
        <v>1249930.642330141</v>
      </c>
      <c r="J101" s="505">
        <f t="shared" si="18"/>
        <v>0</v>
      </c>
      <c r="K101" s="505"/>
      <c r="L101" s="507">
        <f>H101</f>
        <v>1249930.642330141</v>
      </c>
      <c r="M101" s="505">
        <f>IF(L101&lt;&gt;0,+H101-L101,0)</f>
        <v>0</v>
      </c>
      <c r="N101" s="507">
        <f>I101</f>
        <v>1249930.642330141</v>
      </c>
      <c r="O101" s="505">
        <f>IF(N101&lt;&gt;0,+I101-N101,0)</f>
        <v>0</v>
      </c>
      <c r="P101" s="505">
        <f>+O101-M101</f>
        <v>0</v>
      </c>
    </row>
    <row r="102" spans="1:16">
      <c r="B102" s="145" t="str">
        <f t="shared" si="17"/>
        <v>IU</v>
      </c>
      <c r="C102" s="496">
        <f>IF(D94="","-",+C101+1)</f>
        <v>2019</v>
      </c>
      <c r="D102" s="497">
        <v>9224210.9375</v>
      </c>
      <c r="E102" s="499">
        <v>266368.61111111112</v>
      </c>
      <c r="F102" s="506">
        <v>8957842.3263888881</v>
      </c>
      <c r="G102" s="506">
        <v>9091026.631944444</v>
      </c>
      <c r="H102" s="499">
        <v>1226039.6472041525</v>
      </c>
      <c r="I102" s="500">
        <v>1226039.6472041525</v>
      </c>
      <c r="J102" s="505">
        <f t="shared" si="18"/>
        <v>0</v>
      </c>
      <c r="K102" s="505"/>
      <c r="L102" s="507">
        <f>H102</f>
        <v>1226039.6472041525</v>
      </c>
      <c r="M102" s="505">
        <f>IF(L102&lt;&gt;0,+H102-L102,0)</f>
        <v>0</v>
      </c>
      <c r="N102" s="507">
        <f>I102</f>
        <v>1226039.6472041525</v>
      </c>
      <c r="O102" s="505">
        <f t="shared" si="20"/>
        <v>0</v>
      </c>
      <c r="P102" s="505">
        <f t="shared" si="21"/>
        <v>0</v>
      </c>
    </row>
    <row r="103" spans="1:16">
      <c r="B103" s="145" t="str">
        <f t="shared" si="17"/>
        <v>IU</v>
      </c>
      <c r="C103" s="496">
        <f>IF(D94="","-",+C102+1)</f>
        <v>2020</v>
      </c>
      <c r="D103" s="497">
        <v>9031312.3263888881</v>
      </c>
      <c r="E103" s="499">
        <v>345097.85714285716</v>
      </c>
      <c r="F103" s="506">
        <v>8686214.4692460317</v>
      </c>
      <c r="G103" s="506">
        <v>8858763.397817459</v>
      </c>
      <c r="H103" s="499">
        <v>1287789.8668546416</v>
      </c>
      <c r="I103" s="500">
        <v>1287789.8668546416</v>
      </c>
      <c r="J103" s="505">
        <f t="shared" si="18"/>
        <v>0</v>
      </c>
      <c r="K103" s="505"/>
      <c r="L103" s="507">
        <f>H103</f>
        <v>1287789.8668546416</v>
      </c>
      <c r="M103" s="505">
        <f>IF(L103&lt;&gt;0,+H103-L103,0)</f>
        <v>0</v>
      </c>
      <c r="N103" s="507">
        <f>I103</f>
        <v>1287789.8668546416</v>
      </c>
      <c r="O103" s="505">
        <f t="shared" si="20"/>
        <v>0</v>
      </c>
      <c r="P103" s="505">
        <f t="shared" si="21"/>
        <v>0</v>
      </c>
    </row>
    <row r="104" spans="1:16">
      <c r="B104" s="145" t="str">
        <f t="shared" si="17"/>
        <v>IU</v>
      </c>
      <c r="C104" s="496">
        <f>IF(D94="","-",+C103+1)</f>
        <v>2021</v>
      </c>
      <c r="D104" s="350">
        <f>IF(F103+SUM(E$100:E103)=D$93,F103,D$93-SUM(E$100:E103))</f>
        <v>8677200.4692460317</v>
      </c>
      <c r="E104" s="510">
        <f t="shared" ref="E104:E132" si="22">IF(+J$97&lt;F103,J$97,D104)</f>
        <v>386149.04</v>
      </c>
      <c r="F104" s="511">
        <f t="shared" ref="F104:F131" si="23">+D104-E104</f>
        <v>8291051.4292460317</v>
      </c>
      <c r="G104" s="511">
        <f t="shared" ref="G104:G131" si="24">+(F104+D104)/2</f>
        <v>8484125.9492460322</v>
      </c>
      <c r="H104" s="646">
        <f t="shared" ref="H104:H155" si="25">(D104+F104)/2*J$95+E104</f>
        <v>1386953.616675766</v>
      </c>
      <c r="I104" s="628">
        <f t="shared" ref="I104:I155" si="26">+J$96*G104+E104</f>
        <v>1386953.616675766</v>
      </c>
      <c r="J104" s="505">
        <f t="shared" si="18"/>
        <v>0</v>
      </c>
      <c r="K104" s="505"/>
      <c r="L104" s="513"/>
      <c r="M104" s="505">
        <f t="shared" si="19"/>
        <v>0</v>
      </c>
      <c r="N104" s="513"/>
      <c r="O104" s="505">
        <f t="shared" si="20"/>
        <v>0</v>
      </c>
      <c r="P104" s="505">
        <f t="shared" si="21"/>
        <v>0</v>
      </c>
    </row>
    <row r="105" spans="1:16">
      <c r="B105" s="145" t="str">
        <f t="shared" si="17"/>
        <v/>
      </c>
      <c r="C105" s="496">
        <f>IF(D94="","-",+C104+1)</f>
        <v>2022</v>
      </c>
      <c r="D105" s="350">
        <f>IF(F104+SUM(E$100:E104)=D$93,F104,D$93-SUM(E$100:E104))</f>
        <v>8291051.4292460317</v>
      </c>
      <c r="E105" s="510">
        <f t="shared" si="22"/>
        <v>386149.04</v>
      </c>
      <c r="F105" s="511">
        <f t="shared" si="23"/>
        <v>7904902.3892460316</v>
      </c>
      <c r="G105" s="511">
        <f t="shared" si="24"/>
        <v>8097976.9092460312</v>
      </c>
      <c r="H105" s="646">
        <f t="shared" si="25"/>
        <v>1341402.6985466806</v>
      </c>
      <c r="I105" s="628">
        <f t="shared" si="26"/>
        <v>1341402.6985466806</v>
      </c>
      <c r="J105" s="505">
        <f t="shared" si="18"/>
        <v>0</v>
      </c>
      <c r="K105" s="505"/>
      <c r="L105" s="513"/>
      <c r="M105" s="505">
        <f t="shared" si="19"/>
        <v>0</v>
      </c>
      <c r="N105" s="513"/>
      <c r="O105" s="505">
        <f t="shared" si="20"/>
        <v>0</v>
      </c>
      <c r="P105" s="505">
        <f t="shared" si="21"/>
        <v>0</v>
      </c>
    </row>
    <row r="106" spans="1:16">
      <c r="B106" s="145" t="str">
        <f t="shared" si="17"/>
        <v/>
      </c>
      <c r="C106" s="496">
        <f>IF(D94="","-",+C105+1)</f>
        <v>2023</v>
      </c>
      <c r="D106" s="350">
        <f>IF(F105+SUM(E$100:E105)=D$93,F105,D$93-SUM(E$100:E105))</f>
        <v>7904902.3892460316</v>
      </c>
      <c r="E106" s="510">
        <f t="shared" si="22"/>
        <v>386149.04</v>
      </c>
      <c r="F106" s="511">
        <f t="shared" si="23"/>
        <v>7518753.3492460316</v>
      </c>
      <c r="G106" s="511">
        <f t="shared" si="24"/>
        <v>7711827.8692460321</v>
      </c>
      <c r="H106" s="646">
        <f t="shared" si="25"/>
        <v>1295851.7804175955</v>
      </c>
      <c r="I106" s="628">
        <f t="shared" si="26"/>
        <v>1295851.7804175955</v>
      </c>
      <c r="J106" s="505">
        <f t="shared" si="18"/>
        <v>0</v>
      </c>
      <c r="K106" s="505"/>
      <c r="L106" s="513"/>
      <c r="M106" s="505">
        <f t="shared" si="19"/>
        <v>0</v>
      </c>
      <c r="N106" s="513"/>
      <c r="O106" s="505">
        <f t="shared" si="20"/>
        <v>0</v>
      </c>
      <c r="P106" s="505">
        <f t="shared" si="21"/>
        <v>0</v>
      </c>
    </row>
    <row r="107" spans="1:16">
      <c r="B107" s="145" t="str">
        <f t="shared" si="17"/>
        <v/>
      </c>
      <c r="C107" s="496">
        <f>IF(D94="","-",+C106+1)</f>
        <v>2024</v>
      </c>
      <c r="D107" s="350">
        <f>IF(F106+SUM(E$100:E106)=D$93,F106,D$93-SUM(E$100:E106))</f>
        <v>7518753.3492460316</v>
      </c>
      <c r="E107" s="510">
        <f t="shared" si="22"/>
        <v>386149.04</v>
      </c>
      <c r="F107" s="511">
        <f t="shared" si="23"/>
        <v>7132604.3092460316</v>
      </c>
      <c r="G107" s="511">
        <f t="shared" si="24"/>
        <v>7325678.8292460311</v>
      </c>
      <c r="H107" s="646">
        <f t="shared" si="25"/>
        <v>1250300.8622885102</v>
      </c>
      <c r="I107" s="628">
        <f t="shared" si="26"/>
        <v>1250300.8622885102</v>
      </c>
      <c r="J107" s="505">
        <f t="shared" si="18"/>
        <v>0</v>
      </c>
      <c r="K107" s="505"/>
      <c r="L107" s="513"/>
      <c r="M107" s="505">
        <f t="shared" si="19"/>
        <v>0</v>
      </c>
      <c r="N107" s="513"/>
      <c r="O107" s="505">
        <f t="shared" si="20"/>
        <v>0</v>
      </c>
      <c r="P107" s="505">
        <f t="shared" si="21"/>
        <v>0</v>
      </c>
    </row>
    <row r="108" spans="1:16">
      <c r="B108" s="145" t="str">
        <f t="shared" si="17"/>
        <v/>
      </c>
      <c r="C108" s="496">
        <f>IF(D94="","-",+C107+1)</f>
        <v>2025</v>
      </c>
      <c r="D108" s="350">
        <f>IF(F107+SUM(E$100:E107)=D$93,F107,D$93-SUM(E$100:E107))</f>
        <v>7132604.3092460316</v>
      </c>
      <c r="E108" s="510">
        <f t="shared" si="22"/>
        <v>386149.04</v>
      </c>
      <c r="F108" s="511">
        <f t="shared" si="23"/>
        <v>6746455.2692460315</v>
      </c>
      <c r="G108" s="511">
        <f t="shared" si="24"/>
        <v>6939529.789246032</v>
      </c>
      <c r="H108" s="646">
        <f t="shared" si="25"/>
        <v>1204749.9441594249</v>
      </c>
      <c r="I108" s="628">
        <f t="shared" si="26"/>
        <v>1204749.9441594249</v>
      </c>
      <c r="J108" s="505">
        <f t="shared" si="18"/>
        <v>0</v>
      </c>
      <c r="K108" s="505"/>
      <c r="L108" s="513"/>
      <c r="M108" s="505">
        <f t="shared" si="19"/>
        <v>0</v>
      </c>
      <c r="N108" s="513"/>
      <c r="O108" s="505">
        <f t="shared" si="20"/>
        <v>0</v>
      </c>
      <c r="P108" s="505">
        <f t="shared" si="21"/>
        <v>0</v>
      </c>
    </row>
    <row r="109" spans="1:16">
      <c r="B109" s="145" t="str">
        <f t="shared" si="17"/>
        <v/>
      </c>
      <c r="C109" s="496">
        <f>IF(D94="","-",+C108+1)</f>
        <v>2026</v>
      </c>
      <c r="D109" s="350">
        <f>IF(F108+SUM(E$100:E108)=D$93,F108,D$93-SUM(E$100:E108))</f>
        <v>6746455.2692460315</v>
      </c>
      <c r="E109" s="510">
        <f t="shared" si="22"/>
        <v>386149.04</v>
      </c>
      <c r="F109" s="511">
        <f t="shared" si="23"/>
        <v>6360306.2292460315</v>
      </c>
      <c r="G109" s="511">
        <f t="shared" si="24"/>
        <v>6553380.749246031</v>
      </c>
      <c r="H109" s="646">
        <f t="shared" si="25"/>
        <v>1159199.0260303395</v>
      </c>
      <c r="I109" s="628">
        <f t="shared" si="26"/>
        <v>1159199.0260303395</v>
      </c>
      <c r="J109" s="505">
        <f t="shared" si="18"/>
        <v>0</v>
      </c>
      <c r="K109" s="505"/>
      <c r="L109" s="513"/>
      <c r="M109" s="505">
        <f t="shared" si="19"/>
        <v>0</v>
      </c>
      <c r="N109" s="513"/>
      <c r="O109" s="505">
        <f t="shared" si="20"/>
        <v>0</v>
      </c>
      <c r="P109" s="505">
        <f t="shared" si="21"/>
        <v>0</v>
      </c>
    </row>
    <row r="110" spans="1:16">
      <c r="B110" s="145" t="str">
        <f t="shared" si="17"/>
        <v/>
      </c>
      <c r="C110" s="496">
        <f>IF(D94="","-",+C109+1)</f>
        <v>2027</v>
      </c>
      <c r="D110" s="350">
        <f>IF(F109+SUM(E$100:E109)=D$93,F109,D$93-SUM(E$100:E109))</f>
        <v>6360306.2292460315</v>
      </c>
      <c r="E110" s="510">
        <f t="shared" si="22"/>
        <v>386149.04</v>
      </c>
      <c r="F110" s="511">
        <f t="shared" si="23"/>
        <v>5974157.1892460315</v>
      </c>
      <c r="G110" s="511">
        <f t="shared" si="24"/>
        <v>6167231.7092460319</v>
      </c>
      <c r="H110" s="646">
        <f t="shared" si="25"/>
        <v>1113648.1079012544</v>
      </c>
      <c r="I110" s="628">
        <f t="shared" si="26"/>
        <v>1113648.1079012544</v>
      </c>
      <c r="J110" s="505">
        <f t="shared" si="18"/>
        <v>0</v>
      </c>
      <c r="K110" s="505"/>
      <c r="L110" s="513"/>
      <c r="M110" s="505">
        <f t="shared" si="19"/>
        <v>0</v>
      </c>
      <c r="N110" s="513"/>
      <c r="O110" s="505">
        <f t="shared" si="20"/>
        <v>0</v>
      </c>
      <c r="P110" s="505">
        <f t="shared" si="21"/>
        <v>0</v>
      </c>
    </row>
    <row r="111" spans="1:16">
      <c r="B111" s="145" t="str">
        <f t="shared" si="17"/>
        <v/>
      </c>
      <c r="C111" s="496">
        <f>IF(D94="","-",+C110+1)</f>
        <v>2028</v>
      </c>
      <c r="D111" s="350">
        <f>IF(F110+SUM(E$100:E110)=D$93,F110,D$93-SUM(E$100:E110))</f>
        <v>5974157.1892460315</v>
      </c>
      <c r="E111" s="510">
        <f t="shared" si="22"/>
        <v>386149.04</v>
      </c>
      <c r="F111" s="511">
        <f t="shared" si="23"/>
        <v>5588008.1492460314</v>
      </c>
      <c r="G111" s="511">
        <f t="shared" si="24"/>
        <v>5781082.669246031</v>
      </c>
      <c r="H111" s="646">
        <f t="shared" si="25"/>
        <v>1068097.1897721691</v>
      </c>
      <c r="I111" s="628">
        <f t="shared" si="26"/>
        <v>1068097.1897721691</v>
      </c>
      <c r="J111" s="505">
        <f t="shared" si="18"/>
        <v>0</v>
      </c>
      <c r="K111" s="505"/>
      <c r="L111" s="513"/>
      <c r="M111" s="505">
        <f t="shared" si="19"/>
        <v>0</v>
      </c>
      <c r="N111" s="513"/>
      <c r="O111" s="505">
        <f t="shared" si="20"/>
        <v>0</v>
      </c>
      <c r="P111" s="505">
        <f t="shared" si="21"/>
        <v>0</v>
      </c>
    </row>
    <row r="112" spans="1:16">
      <c r="B112" s="145" t="str">
        <f t="shared" si="17"/>
        <v/>
      </c>
      <c r="C112" s="496">
        <f>IF(D94="","-",+C111+1)</f>
        <v>2029</v>
      </c>
      <c r="D112" s="350">
        <f>IF(F111+SUM(E$100:E111)=D$93,F111,D$93-SUM(E$100:E111))</f>
        <v>5588008.1492460314</v>
      </c>
      <c r="E112" s="510">
        <f t="shared" si="22"/>
        <v>386149.04</v>
      </c>
      <c r="F112" s="511">
        <f t="shared" si="23"/>
        <v>5201859.1092460314</v>
      </c>
      <c r="G112" s="511">
        <f t="shared" si="24"/>
        <v>5394933.6292460319</v>
      </c>
      <c r="H112" s="646">
        <f t="shared" si="25"/>
        <v>1022546.271643084</v>
      </c>
      <c r="I112" s="628">
        <f t="shared" si="26"/>
        <v>1022546.271643084</v>
      </c>
      <c r="J112" s="505">
        <f t="shared" si="18"/>
        <v>0</v>
      </c>
      <c r="K112" s="505"/>
      <c r="L112" s="513"/>
      <c r="M112" s="505">
        <f t="shared" si="19"/>
        <v>0</v>
      </c>
      <c r="N112" s="513"/>
      <c r="O112" s="505">
        <f t="shared" si="20"/>
        <v>0</v>
      </c>
      <c r="P112" s="505">
        <f t="shared" si="21"/>
        <v>0</v>
      </c>
    </row>
    <row r="113" spans="2:16">
      <c r="B113" s="145" t="str">
        <f t="shared" si="17"/>
        <v/>
      </c>
      <c r="C113" s="496">
        <f>IF(D94="","-",+C112+1)</f>
        <v>2030</v>
      </c>
      <c r="D113" s="350">
        <f>IF(F112+SUM(E$100:E112)=D$93,F112,D$93-SUM(E$100:E112))</f>
        <v>5201859.1092460314</v>
      </c>
      <c r="E113" s="510">
        <f t="shared" si="22"/>
        <v>386149.04</v>
      </c>
      <c r="F113" s="511">
        <f t="shared" si="23"/>
        <v>4815710.0692460313</v>
      </c>
      <c r="G113" s="511">
        <f t="shared" si="24"/>
        <v>5008784.5892460309</v>
      </c>
      <c r="H113" s="646">
        <f t="shared" si="25"/>
        <v>976995.35351399868</v>
      </c>
      <c r="I113" s="628">
        <f t="shared" si="26"/>
        <v>976995.35351399868</v>
      </c>
      <c r="J113" s="505">
        <f t="shared" si="18"/>
        <v>0</v>
      </c>
      <c r="K113" s="505"/>
      <c r="L113" s="513"/>
      <c r="M113" s="505">
        <f t="shared" si="19"/>
        <v>0</v>
      </c>
      <c r="N113" s="513"/>
      <c r="O113" s="505">
        <f t="shared" si="20"/>
        <v>0</v>
      </c>
      <c r="P113" s="505">
        <f t="shared" si="21"/>
        <v>0</v>
      </c>
    </row>
    <row r="114" spans="2:16">
      <c r="B114" s="145" t="str">
        <f t="shared" si="17"/>
        <v/>
      </c>
      <c r="C114" s="496">
        <f>IF(D94="","-",+C113+1)</f>
        <v>2031</v>
      </c>
      <c r="D114" s="350">
        <f>IF(F113+SUM(E$100:E113)=D$93,F113,D$93-SUM(E$100:E113))</f>
        <v>4815710.0692460313</v>
      </c>
      <c r="E114" s="510">
        <f t="shared" si="22"/>
        <v>386149.04</v>
      </c>
      <c r="F114" s="511">
        <f t="shared" si="23"/>
        <v>4429561.0292460313</v>
      </c>
      <c r="G114" s="511">
        <f t="shared" si="24"/>
        <v>4622635.5492460318</v>
      </c>
      <c r="H114" s="646">
        <f t="shared" si="25"/>
        <v>931444.43538491358</v>
      </c>
      <c r="I114" s="628">
        <f t="shared" si="26"/>
        <v>931444.43538491358</v>
      </c>
      <c r="J114" s="505">
        <f t="shared" si="18"/>
        <v>0</v>
      </c>
      <c r="K114" s="505"/>
      <c r="L114" s="513"/>
      <c r="M114" s="505">
        <f t="shared" si="19"/>
        <v>0</v>
      </c>
      <c r="N114" s="513"/>
      <c r="O114" s="505">
        <f t="shared" si="20"/>
        <v>0</v>
      </c>
      <c r="P114" s="505">
        <f t="shared" si="21"/>
        <v>0</v>
      </c>
    </row>
    <row r="115" spans="2:16">
      <c r="B115" s="145" t="str">
        <f t="shared" si="17"/>
        <v/>
      </c>
      <c r="C115" s="496">
        <f>IF(D94="","-",+C114+1)</f>
        <v>2032</v>
      </c>
      <c r="D115" s="350">
        <f>IF(F114+SUM(E$100:E114)=D$93,F114,D$93-SUM(E$100:E114))</f>
        <v>4429561.0292460313</v>
      </c>
      <c r="E115" s="510">
        <f t="shared" si="22"/>
        <v>386149.04</v>
      </c>
      <c r="F115" s="511">
        <f t="shared" si="23"/>
        <v>4043411.9892460313</v>
      </c>
      <c r="G115" s="511">
        <f t="shared" si="24"/>
        <v>4236486.5092460308</v>
      </c>
      <c r="H115" s="646">
        <f t="shared" si="25"/>
        <v>885893.51725582837</v>
      </c>
      <c r="I115" s="628">
        <f t="shared" si="26"/>
        <v>885893.51725582837</v>
      </c>
      <c r="J115" s="505">
        <f t="shared" si="18"/>
        <v>0</v>
      </c>
      <c r="K115" s="505"/>
      <c r="L115" s="513"/>
      <c r="M115" s="505">
        <f t="shared" si="19"/>
        <v>0</v>
      </c>
      <c r="N115" s="513"/>
      <c r="O115" s="505">
        <f t="shared" si="20"/>
        <v>0</v>
      </c>
      <c r="P115" s="505">
        <f t="shared" si="21"/>
        <v>0</v>
      </c>
    </row>
    <row r="116" spans="2:16">
      <c r="B116" s="145" t="str">
        <f t="shared" si="17"/>
        <v/>
      </c>
      <c r="C116" s="496">
        <f>IF(D94="","-",+C115+1)</f>
        <v>2033</v>
      </c>
      <c r="D116" s="350">
        <f>IF(F115+SUM(E$100:E115)=D$93,F115,D$93-SUM(E$100:E115))</f>
        <v>4043411.9892460313</v>
      </c>
      <c r="E116" s="510">
        <f t="shared" si="22"/>
        <v>386149.04</v>
      </c>
      <c r="F116" s="511">
        <f t="shared" si="23"/>
        <v>3657262.9492460312</v>
      </c>
      <c r="G116" s="511">
        <f t="shared" si="24"/>
        <v>3850337.4692460313</v>
      </c>
      <c r="H116" s="646">
        <f t="shared" si="25"/>
        <v>840342.59912674315</v>
      </c>
      <c r="I116" s="628">
        <f t="shared" si="26"/>
        <v>840342.59912674315</v>
      </c>
      <c r="J116" s="505">
        <f t="shared" si="18"/>
        <v>0</v>
      </c>
      <c r="K116" s="505"/>
      <c r="L116" s="513"/>
      <c r="M116" s="505">
        <f t="shared" si="19"/>
        <v>0</v>
      </c>
      <c r="N116" s="513"/>
      <c r="O116" s="505">
        <f t="shared" si="20"/>
        <v>0</v>
      </c>
      <c r="P116" s="505">
        <f t="shared" si="21"/>
        <v>0</v>
      </c>
    </row>
    <row r="117" spans="2:16">
      <c r="B117" s="145" t="str">
        <f t="shared" si="17"/>
        <v/>
      </c>
      <c r="C117" s="496">
        <f>IF(D94="","-",+C116+1)</f>
        <v>2034</v>
      </c>
      <c r="D117" s="350">
        <f>IF(F116+SUM(E$100:E116)=D$93,F116,D$93-SUM(E$100:E116))</f>
        <v>3657262.9492460312</v>
      </c>
      <c r="E117" s="510">
        <f t="shared" si="22"/>
        <v>386149.04</v>
      </c>
      <c r="F117" s="511">
        <f t="shared" si="23"/>
        <v>3271113.9092460312</v>
      </c>
      <c r="G117" s="511">
        <f t="shared" si="24"/>
        <v>3464188.4292460312</v>
      </c>
      <c r="H117" s="646">
        <f t="shared" si="25"/>
        <v>794791.68099765794</v>
      </c>
      <c r="I117" s="628">
        <f t="shared" si="26"/>
        <v>794791.68099765794</v>
      </c>
      <c r="J117" s="505">
        <f t="shared" si="18"/>
        <v>0</v>
      </c>
      <c r="K117" s="505"/>
      <c r="L117" s="513"/>
      <c r="M117" s="505">
        <f t="shared" si="19"/>
        <v>0</v>
      </c>
      <c r="N117" s="513"/>
      <c r="O117" s="505">
        <f t="shared" si="20"/>
        <v>0</v>
      </c>
      <c r="P117" s="505">
        <f t="shared" si="21"/>
        <v>0</v>
      </c>
    </row>
    <row r="118" spans="2:16">
      <c r="B118" s="145" t="str">
        <f t="shared" si="17"/>
        <v/>
      </c>
      <c r="C118" s="496">
        <f>IF(D94="","-",+C117+1)</f>
        <v>2035</v>
      </c>
      <c r="D118" s="350">
        <f>IF(F117+SUM(E$100:E117)=D$93,F117,D$93-SUM(E$100:E117))</f>
        <v>3271113.9092460312</v>
      </c>
      <c r="E118" s="510">
        <f t="shared" si="22"/>
        <v>386149.04</v>
      </c>
      <c r="F118" s="511">
        <f t="shared" si="23"/>
        <v>2884964.8692460312</v>
      </c>
      <c r="G118" s="511">
        <f t="shared" si="24"/>
        <v>3078039.3892460312</v>
      </c>
      <c r="H118" s="646">
        <f t="shared" si="25"/>
        <v>749240.76286857272</v>
      </c>
      <c r="I118" s="628">
        <f t="shared" si="26"/>
        <v>749240.76286857272</v>
      </c>
      <c r="J118" s="505">
        <f t="shared" si="18"/>
        <v>0</v>
      </c>
      <c r="K118" s="505"/>
      <c r="L118" s="513"/>
      <c r="M118" s="505">
        <f t="shared" si="19"/>
        <v>0</v>
      </c>
      <c r="N118" s="513"/>
      <c r="O118" s="505">
        <f t="shared" si="20"/>
        <v>0</v>
      </c>
      <c r="P118" s="505">
        <f t="shared" si="21"/>
        <v>0</v>
      </c>
    </row>
    <row r="119" spans="2:16">
      <c r="B119" s="145" t="str">
        <f t="shared" si="17"/>
        <v/>
      </c>
      <c r="C119" s="496">
        <f>IF(D94="","-",+C118+1)</f>
        <v>2036</v>
      </c>
      <c r="D119" s="350">
        <f>IF(F118+SUM(E$100:E118)=D$93,F118,D$93-SUM(E$100:E118))</f>
        <v>2884964.8692460312</v>
      </c>
      <c r="E119" s="510">
        <f t="shared" si="22"/>
        <v>386149.04</v>
      </c>
      <c r="F119" s="511">
        <f t="shared" si="23"/>
        <v>2498815.8292460311</v>
      </c>
      <c r="G119" s="511">
        <f t="shared" si="24"/>
        <v>2691890.3492460311</v>
      </c>
      <c r="H119" s="646">
        <f t="shared" si="25"/>
        <v>703689.84473948751</v>
      </c>
      <c r="I119" s="628">
        <f t="shared" si="26"/>
        <v>703689.84473948751</v>
      </c>
      <c r="J119" s="505">
        <f t="shared" si="18"/>
        <v>0</v>
      </c>
      <c r="K119" s="505"/>
      <c r="L119" s="513"/>
      <c r="M119" s="505">
        <f t="shared" si="19"/>
        <v>0</v>
      </c>
      <c r="N119" s="513"/>
      <c r="O119" s="505">
        <f t="shared" si="20"/>
        <v>0</v>
      </c>
      <c r="P119" s="505">
        <f t="shared" si="21"/>
        <v>0</v>
      </c>
    </row>
    <row r="120" spans="2:16">
      <c r="B120" s="145" t="str">
        <f t="shared" si="17"/>
        <v/>
      </c>
      <c r="C120" s="496">
        <f>IF(D94="","-",+C119+1)</f>
        <v>2037</v>
      </c>
      <c r="D120" s="350">
        <f>IF(F119+SUM(E$100:E119)=D$93,F119,D$93-SUM(E$100:E119))</f>
        <v>2498815.8292460311</v>
      </c>
      <c r="E120" s="510">
        <f t="shared" si="22"/>
        <v>386149.04</v>
      </c>
      <c r="F120" s="511">
        <f t="shared" si="23"/>
        <v>2112666.7892460311</v>
      </c>
      <c r="G120" s="511">
        <f t="shared" si="24"/>
        <v>2305741.3092460311</v>
      </c>
      <c r="H120" s="646">
        <f t="shared" si="25"/>
        <v>658138.9266104023</v>
      </c>
      <c r="I120" s="628">
        <f t="shared" si="26"/>
        <v>658138.9266104023</v>
      </c>
      <c r="J120" s="505">
        <f t="shared" si="18"/>
        <v>0</v>
      </c>
      <c r="K120" s="505"/>
      <c r="L120" s="513"/>
      <c r="M120" s="505">
        <f t="shared" si="19"/>
        <v>0</v>
      </c>
      <c r="N120" s="513"/>
      <c r="O120" s="505">
        <f t="shared" si="20"/>
        <v>0</v>
      </c>
      <c r="P120" s="505">
        <f t="shared" si="21"/>
        <v>0</v>
      </c>
    </row>
    <row r="121" spans="2:16">
      <c r="B121" s="145" t="str">
        <f t="shared" si="17"/>
        <v/>
      </c>
      <c r="C121" s="496">
        <f>IF(D94="","-",+C120+1)</f>
        <v>2038</v>
      </c>
      <c r="D121" s="350">
        <f>IF(F120+SUM(E$100:E120)=D$93,F120,D$93-SUM(E$100:E120))</f>
        <v>2112666.7892460311</v>
      </c>
      <c r="E121" s="510">
        <f t="shared" si="22"/>
        <v>386149.04</v>
      </c>
      <c r="F121" s="511">
        <f t="shared" si="23"/>
        <v>1726517.749246031</v>
      </c>
      <c r="G121" s="511">
        <f t="shared" si="24"/>
        <v>1919592.2692460311</v>
      </c>
      <c r="H121" s="646">
        <f t="shared" si="25"/>
        <v>612588.00848131708</v>
      </c>
      <c r="I121" s="628">
        <f t="shared" si="26"/>
        <v>612588.00848131708</v>
      </c>
      <c r="J121" s="505">
        <f t="shared" si="18"/>
        <v>0</v>
      </c>
      <c r="K121" s="505"/>
      <c r="L121" s="513"/>
      <c r="M121" s="505">
        <f t="shared" si="19"/>
        <v>0</v>
      </c>
      <c r="N121" s="513"/>
      <c r="O121" s="505">
        <f t="shared" si="20"/>
        <v>0</v>
      </c>
      <c r="P121" s="505">
        <f t="shared" si="21"/>
        <v>0</v>
      </c>
    </row>
    <row r="122" spans="2:16">
      <c r="B122" s="145" t="str">
        <f t="shared" si="17"/>
        <v/>
      </c>
      <c r="C122" s="496">
        <f>IF(D94="","-",+C121+1)</f>
        <v>2039</v>
      </c>
      <c r="D122" s="350">
        <f>IF(F121+SUM(E$100:E121)=D$93,F121,D$93-SUM(E$100:E121))</f>
        <v>1726517.749246031</v>
      </c>
      <c r="E122" s="510">
        <f t="shared" si="22"/>
        <v>386149.04</v>
      </c>
      <c r="F122" s="511">
        <f t="shared" si="23"/>
        <v>1340368.709246031</v>
      </c>
      <c r="G122" s="511">
        <f t="shared" si="24"/>
        <v>1533443.229246031</v>
      </c>
      <c r="H122" s="646">
        <f t="shared" si="25"/>
        <v>567037.09035223187</v>
      </c>
      <c r="I122" s="628">
        <f t="shared" si="26"/>
        <v>567037.09035223187</v>
      </c>
      <c r="J122" s="505">
        <f t="shared" si="18"/>
        <v>0</v>
      </c>
      <c r="K122" s="505"/>
      <c r="L122" s="513"/>
      <c r="M122" s="505">
        <f t="shared" si="19"/>
        <v>0</v>
      </c>
      <c r="N122" s="513"/>
      <c r="O122" s="505">
        <f t="shared" si="20"/>
        <v>0</v>
      </c>
      <c r="P122" s="505">
        <f t="shared" si="21"/>
        <v>0</v>
      </c>
    </row>
    <row r="123" spans="2:16">
      <c r="B123" s="145" t="str">
        <f t="shared" si="17"/>
        <v/>
      </c>
      <c r="C123" s="496">
        <f>IF(D94="","-",+C122+1)</f>
        <v>2040</v>
      </c>
      <c r="D123" s="350">
        <f>IF(F122+SUM(E$100:E122)=D$93,F122,D$93-SUM(E$100:E122))</f>
        <v>1340368.709246031</v>
      </c>
      <c r="E123" s="510">
        <f t="shared" si="22"/>
        <v>386149.04</v>
      </c>
      <c r="F123" s="511">
        <f t="shared" si="23"/>
        <v>954219.66924603097</v>
      </c>
      <c r="G123" s="511">
        <f t="shared" si="24"/>
        <v>1147294.189246031</v>
      </c>
      <c r="H123" s="646">
        <f t="shared" si="25"/>
        <v>521486.17222314666</v>
      </c>
      <c r="I123" s="628">
        <f t="shared" si="26"/>
        <v>521486.17222314666</v>
      </c>
      <c r="J123" s="505">
        <f t="shared" si="18"/>
        <v>0</v>
      </c>
      <c r="K123" s="505"/>
      <c r="L123" s="513"/>
      <c r="M123" s="505">
        <f t="shared" si="19"/>
        <v>0</v>
      </c>
      <c r="N123" s="513"/>
      <c r="O123" s="505">
        <f t="shared" si="20"/>
        <v>0</v>
      </c>
      <c r="P123" s="505">
        <f t="shared" si="21"/>
        <v>0</v>
      </c>
    </row>
    <row r="124" spans="2:16">
      <c r="B124" s="145" t="str">
        <f t="shared" si="17"/>
        <v/>
      </c>
      <c r="C124" s="496">
        <f>IF(D94="","-",+C123+1)</f>
        <v>2041</v>
      </c>
      <c r="D124" s="350">
        <f>IF(F123+SUM(E$100:E123)=D$93,F123,D$93-SUM(E$100:E123))</f>
        <v>954219.66924603097</v>
      </c>
      <c r="E124" s="510">
        <f t="shared" si="22"/>
        <v>386149.04</v>
      </c>
      <c r="F124" s="511">
        <f t="shared" si="23"/>
        <v>568070.62924603093</v>
      </c>
      <c r="G124" s="511">
        <f t="shared" si="24"/>
        <v>761145.14924603095</v>
      </c>
      <c r="H124" s="646">
        <f t="shared" si="25"/>
        <v>475935.25409406144</v>
      </c>
      <c r="I124" s="628">
        <f t="shared" si="26"/>
        <v>475935.25409406144</v>
      </c>
      <c r="J124" s="505">
        <f t="shared" si="18"/>
        <v>0</v>
      </c>
      <c r="K124" s="505"/>
      <c r="L124" s="513"/>
      <c r="M124" s="505">
        <f t="shared" si="19"/>
        <v>0</v>
      </c>
      <c r="N124" s="513"/>
      <c r="O124" s="505">
        <f t="shared" si="20"/>
        <v>0</v>
      </c>
      <c r="P124" s="505">
        <f t="shared" si="21"/>
        <v>0</v>
      </c>
    </row>
    <row r="125" spans="2:16">
      <c r="B125" s="145" t="str">
        <f t="shared" si="17"/>
        <v/>
      </c>
      <c r="C125" s="496">
        <f>IF(D94="","-",+C124+1)</f>
        <v>2042</v>
      </c>
      <c r="D125" s="350">
        <f>IF(F124+SUM(E$100:E124)=D$93,F124,D$93-SUM(E$100:E124))</f>
        <v>568070.62924603093</v>
      </c>
      <c r="E125" s="510">
        <f t="shared" si="22"/>
        <v>386149.04</v>
      </c>
      <c r="F125" s="511">
        <f t="shared" si="23"/>
        <v>181921.58924603096</v>
      </c>
      <c r="G125" s="511">
        <f t="shared" si="24"/>
        <v>374996.10924603092</v>
      </c>
      <c r="H125" s="646">
        <f t="shared" si="25"/>
        <v>430384.33596497623</v>
      </c>
      <c r="I125" s="628">
        <f t="shared" si="26"/>
        <v>430384.33596497623</v>
      </c>
      <c r="J125" s="505">
        <f t="shared" si="18"/>
        <v>0</v>
      </c>
      <c r="K125" s="505"/>
      <c r="L125" s="513"/>
      <c r="M125" s="505">
        <f t="shared" si="19"/>
        <v>0</v>
      </c>
      <c r="N125" s="513"/>
      <c r="O125" s="505">
        <f t="shared" si="20"/>
        <v>0</v>
      </c>
      <c r="P125" s="505">
        <f t="shared" si="21"/>
        <v>0</v>
      </c>
    </row>
    <row r="126" spans="2:16">
      <c r="B126" s="145" t="str">
        <f t="shared" si="17"/>
        <v/>
      </c>
      <c r="C126" s="496">
        <f>IF(D94="","-",+C125+1)</f>
        <v>2043</v>
      </c>
      <c r="D126" s="350">
        <f>IF(F125+SUM(E$100:E125)=D$93,F125,D$93-SUM(E$100:E125))</f>
        <v>181921.58924603096</v>
      </c>
      <c r="E126" s="510">
        <f t="shared" si="22"/>
        <v>181921.58924603096</v>
      </c>
      <c r="F126" s="511">
        <f t="shared" si="23"/>
        <v>0</v>
      </c>
      <c r="G126" s="511">
        <f t="shared" si="24"/>
        <v>90960.794623015478</v>
      </c>
      <c r="H126" s="646">
        <f t="shared" si="25"/>
        <v>192651.50769624778</v>
      </c>
      <c r="I126" s="628">
        <f t="shared" si="26"/>
        <v>192651.50769624778</v>
      </c>
      <c r="J126" s="505">
        <f t="shared" si="18"/>
        <v>0</v>
      </c>
      <c r="K126" s="505"/>
      <c r="L126" s="513"/>
      <c r="M126" s="505">
        <f t="shared" si="19"/>
        <v>0</v>
      </c>
      <c r="N126" s="513"/>
      <c r="O126" s="505">
        <f t="shared" si="20"/>
        <v>0</v>
      </c>
      <c r="P126" s="505">
        <f t="shared" si="21"/>
        <v>0</v>
      </c>
    </row>
    <row r="127" spans="2:16">
      <c r="B127" s="145" t="str">
        <f t="shared" si="17"/>
        <v/>
      </c>
      <c r="C127" s="496">
        <f>IF(D94="","-",+C126+1)</f>
        <v>2044</v>
      </c>
      <c r="D127" s="350">
        <f>IF(F126+SUM(E$100:E126)=D$93,F126,D$93-SUM(E$100:E126))</f>
        <v>0</v>
      </c>
      <c r="E127" s="510">
        <f t="shared" si="22"/>
        <v>0</v>
      </c>
      <c r="F127" s="511">
        <f t="shared" si="23"/>
        <v>0</v>
      </c>
      <c r="G127" s="511">
        <f t="shared" si="24"/>
        <v>0</v>
      </c>
      <c r="H127" s="646">
        <f t="shared" si="25"/>
        <v>0</v>
      </c>
      <c r="I127" s="628">
        <f t="shared" si="26"/>
        <v>0</v>
      </c>
      <c r="J127" s="505">
        <f t="shared" si="18"/>
        <v>0</v>
      </c>
      <c r="K127" s="505"/>
      <c r="L127" s="513"/>
      <c r="M127" s="505">
        <f t="shared" si="19"/>
        <v>0</v>
      </c>
      <c r="N127" s="513"/>
      <c r="O127" s="505">
        <f t="shared" si="20"/>
        <v>0</v>
      </c>
      <c r="P127" s="505">
        <f t="shared" si="21"/>
        <v>0</v>
      </c>
    </row>
    <row r="128" spans="2:16">
      <c r="B128" s="145" t="str">
        <f t="shared" si="17"/>
        <v/>
      </c>
      <c r="C128" s="496">
        <f>IF(D94="","-",+C127+1)</f>
        <v>2045</v>
      </c>
      <c r="D128" s="350">
        <f>IF(F127+SUM(E$100:E127)=D$93,F127,D$93-SUM(E$100:E127))</f>
        <v>0</v>
      </c>
      <c r="E128" s="510">
        <f t="shared" si="22"/>
        <v>0</v>
      </c>
      <c r="F128" s="511">
        <f t="shared" si="23"/>
        <v>0</v>
      </c>
      <c r="G128" s="511">
        <f t="shared" si="24"/>
        <v>0</v>
      </c>
      <c r="H128" s="646">
        <f t="shared" si="25"/>
        <v>0</v>
      </c>
      <c r="I128" s="628">
        <f t="shared" si="26"/>
        <v>0</v>
      </c>
      <c r="J128" s="505">
        <f t="shared" si="18"/>
        <v>0</v>
      </c>
      <c r="K128" s="505"/>
      <c r="L128" s="513"/>
      <c r="M128" s="505">
        <f t="shared" si="19"/>
        <v>0</v>
      </c>
      <c r="N128" s="513"/>
      <c r="O128" s="505">
        <f t="shared" si="20"/>
        <v>0</v>
      </c>
      <c r="P128" s="505">
        <f t="shared" si="21"/>
        <v>0</v>
      </c>
    </row>
    <row r="129" spans="2:16">
      <c r="B129" s="145" t="str">
        <f t="shared" si="17"/>
        <v/>
      </c>
      <c r="C129" s="496">
        <f>IF(D94="","-",+C128+1)</f>
        <v>2046</v>
      </c>
      <c r="D129" s="350">
        <f>IF(F128+SUM(E$100:E128)=D$93,F128,D$93-SUM(E$100:E128))</f>
        <v>0</v>
      </c>
      <c r="E129" s="510">
        <f t="shared" si="22"/>
        <v>0</v>
      </c>
      <c r="F129" s="511">
        <f t="shared" si="23"/>
        <v>0</v>
      </c>
      <c r="G129" s="511">
        <f t="shared" si="24"/>
        <v>0</v>
      </c>
      <c r="H129" s="646">
        <f t="shared" si="25"/>
        <v>0</v>
      </c>
      <c r="I129" s="628">
        <f t="shared" si="26"/>
        <v>0</v>
      </c>
      <c r="J129" s="505">
        <f t="shared" si="18"/>
        <v>0</v>
      </c>
      <c r="K129" s="505"/>
      <c r="L129" s="513"/>
      <c r="M129" s="505">
        <f t="shared" si="19"/>
        <v>0</v>
      </c>
      <c r="N129" s="513"/>
      <c r="O129" s="505">
        <f t="shared" si="20"/>
        <v>0</v>
      </c>
      <c r="P129" s="505">
        <f t="shared" si="21"/>
        <v>0</v>
      </c>
    </row>
    <row r="130" spans="2:16">
      <c r="B130" s="145" t="str">
        <f t="shared" si="17"/>
        <v/>
      </c>
      <c r="C130" s="496">
        <f>IF(D94="","-",+C129+1)</f>
        <v>2047</v>
      </c>
      <c r="D130" s="350">
        <f>IF(F129+SUM(E$100:E129)=D$93,F129,D$93-SUM(E$100:E129))</f>
        <v>0</v>
      </c>
      <c r="E130" s="510">
        <f t="shared" si="22"/>
        <v>0</v>
      </c>
      <c r="F130" s="511">
        <f t="shared" si="23"/>
        <v>0</v>
      </c>
      <c r="G130" s="511">
        <f t="shared" si="24"/>
        <v>0</v>
      </c>
      <c r="H130" s="646">
        <f t="shared" si="25"/>
        <v>0</v>
      </c>
      <c r="I130" s="628">
        <f t="shared" si="26"/>
        <v>0</v>
      </c>
      <c r="J130" s="505">
        <f t="shared" si="18"/>
        <v>0</v>
      </c>
      <c r="K130" s="505"/>
      <c r="L130" s="513"/>
      <c r="M130" s="505">
        <f t="shared" si="19"/>
        <v>0</v>
      </c>
      <c r="N130" s="513"/>
      <c r="O130" s="505">
        <f t="shared" si="20"/>
        <v>0</v>
      </c>
      <c r="P130" s="505">
        <f t="shared" si="21"/>
        <v>0</v>
      </c>
    </row>
    <row r="131" spans="2:16">
      <c r="B131" s="145" t="str">
        <f t="shared" si="17"/>
        <v/>
      </c>
      <c r="C131" s="496">
        <f>IF(D94="","-",+C130+1)</f>
        <v>2048</v>
      </c>
      <c r="D131" s="350">
        <f>IF(F130+SUM(E$100:E130)=D$93,F130,D$93-SUM(E$100:E130))</f>
        <v>0</v>
      </c>
      <c r="E131" s="510">
        <f t="shared" si="22"/>
        <v>0</v>
      </c>
      <c r="F131" s="511">
        <f t="shared" si="23"/>
        <v>0</v>
      </c>
      <c r="G131" s="511">
        <f t="shared" si="24"/>
        <v>0</v>
      </c>
      <c r="H131" s="646">
        <f t="shared" si="25"/>
        <v>0</v>
      </c>
      <c r="I131" s="628">
        <f t="shared" si="26"/>
        <v>0</v>
      </c>
      <c r="J131" s="505">
        <f t="shared" si="18"/>
        <v>0</v>
      </c>
      <c r="K131" s="505"/>
      <c r="L131" s="513"/>
      <c r="M131" s="505">
        <f t="shared" si="19"/>
        <v>0</v>
      </c>
      <c r="N131" s="513"/>
      <c r="O131" s="505">
        <f t="shared" si="20"/>
        <v>0</v>
      </c>
      <c r="P131" s="505">
        <f t="shared" si="21"/>
        <v>0</v>
      </c>
    </row>
    <row r="132" spans="2:16">
      <c r="B132" s="145" t="str">
        <f t="shared" si="17"/>
        <v/>
      </c>
      <c r="C132" s="496">
        <f>IF(D94="","-",+C131+1)</f>
        <v>2049</v>
      </c>
      <c r="D132" s="350">
        <f>IF(F131+SUM(E$100:E131)=D$93,F131,D$93-SUM(E$100:E131))</f>
        <v>0</v>
      </c>
      <c r="E132" s="510">
        <f t="shared" si="22"/>
        <v>0</v>
      </c>
      <c r="F132" s="511">
        <f t="shared" ref="F132:F155" si="27">+D132-E132</f>
        <v>0</v>
      </c>
      <c r="G132" s="511">
        <f t="shared" ref="G132:G155" si="28">+(F132+D132)/2</f>
        <v>0</v>
      </c>
      <c r="H132" s="646">
        <f t="shared" si="25"/>
        <v>0</v>
      </c>
      <c r="I132" s="628">
        <f t="shared" si="26"/>
        <v>0</v>
      </c>
      <c r="J132" s="505">
        <f t="shared" ref="J132:J155" si="29">+I542-H542</f>
        <v>0</v>
      </c>
      <c r="K132" s="505"/>
      <c r="L132" s="513"/>
      <c r="M132" s="505">
        <f t="shared" ref="M132:M155" si="30">IF(L542&lt;&gt;0,+H542-L542,0)</f>
        <v>0</v>
      </c>
      <c r="N132" s="513"/>
      <c r="O132" s="505">
        <f t="shared" ref="O132:O155" si="31">IF(N542&lt;&gt;0,+I542-N542,0)</f>
        <v>0</v>
      </c>
      <c r="P132" s="505">
        <f t="shared" ref="P132:P155" si="32">+O542-M542</f>
        <v>0</v>
      </c>
    </row>
    <row r="133" spans="2:16">
      <c r="B133" s="145" t="str">
        <f t="shared" si="17"/>
        <v/>
      </c>
      <c r="C133" s="496">
        <f>IF(D94="","-",+C132+1)</f>
        <v>2050</v>
      </c>
      <c r="D133" s="350">
        <f>IF(F132+SUM(E$100:E132)=D$93,F132,D$93-SUM(E$100:E132))</f>
        <v>0</v>
      </c>
      <c r="E133" s="510">
        <f t="shared" ref="E133:E155" si="33">IF(+J$97&lt;F132,J$97,D133)</f>
        <v>0</v>
      </c>
      <c r="F133" s="511">
        <f t="shared" si="27"/>
        <v>0</v>
      </c>
      <c r="G133" s="511">
        <f t="shared" si="28"/>
        <v>0</v>
      </c>
      <c r="H133" s="646">
        <f t="shared" si="25"/>
        <v>0</v>
      </c>
      <c r="I133" s="628">
        <f t="shared" si="26"/>
        <v>0</v>
      </c>
      <c r="J133" s="505">
        <f t="shared" si="29"/>
        <v>0</v>
      </c>
      <c r="K133" s="505"/>
      <c r="L133" s="513"/>
      <c r="M133" s="505">
        <f t="shared" si="30"/>
        <v>0</v>
      </c>
      <c r="N133" s="513"/>
      <c r="O133" s="505">
        <f t="shared" si="31"/>
        <v>0</v>
      </c>
      <c r="P133" s="505">
        <f t="shared" si="32"/>
        <v>0</v>
      </c>
    </row>
    <row r="134" spans="2:16">
      <c r="B134" s="145" t="str">
        <f t="shared" si="17"/>
        <v/>
      </c>
      <c r="C134" s="496">
        <f>IF(D94="","-",+C133+1)</f>
        <v>2051</v>
      </c>
      <c r="D134" s="350">
        <f>IF(F133+SUM(E$100:E133)=D$93,F133,D$93-SUM(E$100:E133))</f>
        <v>0</v>
      </c>
      <c r="E134" s="510">
        <f t="shared" si="33"/>
        <v>0</v>
      </c>
      <c r="F134" s="511">
        <f t="shared" si="27"/>
        <v>0</v>
      </c>
      <c r="G134" s="511">
        <f t="shared" si="28"/>
        <v>0</v>
      </c>
      <c r="H134" s="646">
        <f t="shared" si="25"/>
        <v>0</v>
      </c>
      <c r="I134" s="628">
        <f t="shared" si="26"/>
        <v>0</v>
      </c>
      <c r="J134" s="505">
        <f t="shared" si="29"/>
        <v>0</v>
      </c>
      <c r="K134" s="505"/>
      <c r="L134" s="513"/>
      <c r="M134" s="505">
        <f t="shared" si="30"/>
        <v>0</v>
      </c>
      <c r="N134" s="513"/>
      <c r="O134" s="505">
        <f t="shared" si="31"/>
        <v>0</v>
      </c>
      <c r="P134" s="505">
        <f t="shared" si="32"/>
        <v>0</v>
      </c>
    </row>
    <row r="135" spans="2:16">
      <c r="B135" s="145" t="str">
        <f t="shared" si="17"/>
        <v/>
      </c>
      <c r="C135" s="496">
        <f>IF(D94="","-",+C134+1)</f>
        <v>2052</v>
      </c>
      <c r="D135" s="350">
        <f>IF(F134+SUM(E$100:E134)=D$93,F134,D$93-SUM(E$100:E134))</f>
        <v>0</v>
      </c>
      <c r="E135" s="510">
        <f t="shared" si="33"/>
        <v>0</v>
      </c>
      <c r="F135" s="511">
        <f t="shared" si="27"/>
        <v>0</v>
      </c>
      <c r="G135" s="511">
        <f t="shared" si="28"/>
        <v>0</v>
      </c>
      <c r="H135" s="646">
        <f t="shared" si="25"/>
        <v>0</v>
      </c>
      <c r="I135" s="628">
        <f t="shared" si="26"/>
        <v>0</v>
      </c>
      <c r="J135" s="505">
        <f t="shared" si="29"/>
        <v>0</v>
      </c>
      <c r="K135" s="505"/>
      <c r="L135" s="513"/>
      <c r="M135" s="505">
        <f t="shared" si="30"/>
        <v>0</v>
      </c>
      <c r="N135" s="513"/>
      <c r="O135" s="505">
        <f t="shared" si="31"/>
        <v>0</v>
      </c>
      <c r="P135" s="505">
        <f t="shared" si="32"/>
        <v>0</v>
      </c>
    </row>
    <row r="136" spans="2:16">
      <c r="B136" s="145" t="str">
        <f t="shared" si="17"/>
        <v/>
      </c>
      <c r="C136" s="496">
        <f>IF(D94="","-",+C135+1)</f>
        <v>2053</v>
      </c>
      <c r="D136" s="350">
        <f>IF(F135+SUM(E$100:E135)=D$93,F135,D$93-SUM(E$100:E135))</f>
        <v>0</v>
      </c>
      <c r="E136" s="510">
        <f t="shared" si="33"/>
        <v>0</v>
      </c>
      <c r="F136" s="511">
        <f t="shared" si="27"/>
        <v>0</v>
      </c>
      <c r="G136" s="511">
        <f t="shared" si="28"/>
        <v>0</v>
      </c>
      <c r="H136" s="646">
        <f t="shared" si="25"/>
        <v>0</v>
      </c>
      <c r="I136" s="628">
        <f t="shared" si="26"/>
        <v>0</v>
      </c>
      <c r="J136" s="505">
        <f t="shared" si="29"/>
        <v>0</v>
      </c>
      <c r="K136" s="505"/>
      <c r="L136" s="513"/>
      <c r="M136" s="505">
        <f t="shared" si="30"/>
        <v>0</v>
      </c>
      <c r="N136" s="513"/>
      <c r="O136" s="505">
        <f t="shared" si="31"/>
        <v>0</v>
      </c>
      <c r="P136" s="505">
        <f t="shared" si="32"/>
        <v>0</v>
      </c>
    </row>
    <row r="137" spans="2:16">
      <c r="B137" s="145" t="str">
        <f t="shared" si="17"/>
        <v/>
      </c>
      <c r="C137" s="496">
        <f>IF(D94="","-",+C136+1)</f>
        <v>2054</v>
      </c>
      <c r="D137" s="350">
        <f>IF(F136+SUM(E$100:E136)=D$93,F136,D$93-SUM(E$100:E136))</f>
        <v>0</v>
      </c>
      <c r="E137" s="510">
        <f t="shared" si="33"/>
        <v>0</v>
      </c>
      <c r="F137" s="511">
        <f t="shared" si="27"/>
        <v>0</v>
      </c>
      <c r="G137" s="511">
        <f t="shared" si="28"/>
        <v>0</v>
      </c>
      <c r="H137" s="646">
        <f t="shared" si="25"/>
        <v>0</v>
      </c>
      <c r="I137" s="628">
        <f t="shared" si="26"/>
        <v>0</v>
      </c>
      <c r="J137" s="505">
        <f t="shared" si="29"/>
        <v>0</v>
      </c>
      <c r="K137" s="505"/>
      <c r="L137" s="513"/>
      <c r="M137" s="505">
        <f t="shared" si="30"/>
        <v>0</v>
      </c>
      <c r="N137" s="513"/>
      <c r="O137" s="505">
        <f t="shared" si="31"/>
        <v>0</v>
      </c>
      <c r="P137" s="505">
        <f t="shared" si="32"/>
        <v>0</v>
      </c>
    </row>
    <row r="138" spans="2:16">
      <c r="B138" s="145" t="str">
        <f t="shared" si="17"/>
        <v/>
      </c>
      <c r="C138" s="496">
        <f>IF(D94="","-",+C137+1)</f>
        <v>2055</v>
      </c>
      <c r="D138" s="350">
        <f>IF(F137+SUM(E$100:E137)=D$93,F137,D$93-SUM(E$100:E137))</f>
        <v>0</v>
      </c>
      <c r="E138" s="510">
        <f t="shared" si="33"/>
        <v>0</v>
      </c>
      <c r="F138" s="511">
        <f t="shared" si="27"/>
        <v>0</v>
      </c>
      <c r="G138" s="511">
        <f t="shared" si="28"/>
        <v>0</v>
      </c>
      <c r="H138" s="646">
        <f t="shared" si="25"/>
        <v>0</v>
      </c>
      <c r="I138" s="628">
        <f t="shared" si="26"/>
        <v>0</v>
      </c>
      <c r="J138" s="505">
        <f t="shared" si="29"/>
        <v>0</v>
      </c>
      <c r="K138" s="505"/>
      <c r="L138" s="513"/>
      <c r="M138" s="505">
        <f t="shared" si="30"/>
        <v>0</v>
      </c>
      <c r="N138" s="513"/>
      <c r="O138" s="505">
        <f t="shared" si="31"/>
        <v>0</v>
      </c>
      <c r="P138" s="505">
        <f t="shared" si="32"/>
        <v>0</v>
      </c>
    </row>
    <row r="139" spans="2:16">
      <c r="B139" s="145" t="str">
        <f t="shared" si="17"/>
        <v/>
      </c>
      <c r="C139" s="496">
        <f>IF(D94="","-",+C138+1)</f>
        <v>2056</v>
      </c>
      <c r="D139" s="350">
        <f>IF(F138+SUM(E$100:E138)=D$93,F138,D$93-SUM(E$100:E138))</f>
        <v>0</v>
      </c>
      <c r="E139" s="510">
        <f t="shared" si="33"/>
        <v>0</v>
      </c>
      <c r="F139" s="511">
        <f t="shared" si="27"/>
        <v>0</v>
      </c>
      <c r="G139" s="511">
        <f t="shared" si="28"/>
        <v>0</v>
      </c>
      <c r="H139" s="646">
        <f t="shared" si="25"/>
        <v>0</v>
      </c>
      <c r="I139" s="628">
        <f t="shared" si="26"/>
        <v>0</v>
      </c>
      <c r="J139" s="505">
        <f t="shared" si="29"/>
        <v>0</v>
      </c>
      <c r="K139" s="505"/>
      <c r="L139" s="513"/>
      <c r="M139" s="505">
        <f t="shared" si="30"/>
        <v>0</v>
      </c>
      <c r="N139" s="513"/>
      <c r="O139" s="505">
        <f t="shared" si="31"/>
        <v>0</v>
      </c>
      <c r="P139" s="505">
        <f t="shared" si="32"/>
        <v>0</v>
      </c>
    </row>
    <row r="140" spans="2:16">
      <c r="B140" s="145" t="str">
        <f t="shared" si="17"/>
        <v/>
      </c>
      <c r="C140" s="496">
        <f>IF(D94="","-",+C139+1)</f>
        <v>2057</v>
      </c>
      <c r="D140" s="350">
        <f>IF(F139+SUM(E$100:E139)=D$93,F139,D$93-SUM(E$100:E139))</f>
        <v>0</v>
      </c>
      <c r="E140" s="510">
        <f t="shared" si="33"/>
        <v>0</v>
      </c>
      <c r="F140" s="511">
        <f t="shared" si="27"/>
        <v>0</v>
      </c>
      <c r="G140" s="511">
        <f t="shared" si="28"/>
        <v>0</v>
      </c>
      <c r="H140" s="646">
        <f t="shared" si="25"/>
        <v>0</v>
      </c>
      <c r="I140" s="628">
        <f t="shared" si="26"/>
        <v>0</v>
      </c>
      <c r="J140" s="505">
        <f t="shared" si="29"/>
        <v>0</v>
      </c>
      <c r="K140" s="505"/>
      <c r="L140" s="513"/>
      <c r="M140" s="505">
        <f t="shared" si="30"/>
        <v>0</v>
      </c>
      <c r="N140" s="513"/>
      <c r="O140" s="505">
        <f t="shared" si="31"/>
        <v>0</v>
      </c>
      <c r="P140" s="505">
        <f t="shared" si="32"/>
        <v>0</v>
      </c>
    </row>
    <row r="141" spans="2:16">
      <c r="B141" s="145" t="str">
        <f t="shared" si="17"/>
        <v/>
      </c>
      <c r="C141" s="496">
        <f>IF(D94="","-",+C140+1)</f>
        <v>2058</v>
      </c>
      <c r="D141" s="350">
        <f>IF(F140+SUM(E$100:E140)=D$93,F140,D$93-SUM(E$100:E140))</f>
        <v>0</v>
      </c>
      <c r="E141" s="510">
        <f t="shared" si="33"/>
        <v>0</v>
      </c>
      <c r="F141" s="511">
        <f t="shared" si="27"/>
        <v>0</v>
      </c>
      <c r="G141" s="511">
        <f t="shared" si="28"/>
        <v>0</v>
      </c>
      <c r="H141" s="646">
        <f t="shared" si="25"/>
        <v>0</v>
      </c>
      <c r="I141" s="628">
        <f t="shared" si="26"/>
        <v>0</v>
      </c>
      <c r="J141" s="505">
        <f t="shared" si="29"/>
        <v>0</v>
      </c>
      <c r="K141" s="505"/>
      <c r="L141" s="513"/>
      <c r="M141" s="505">
        <f t="shared" si="30"/>
        <v>0</v>
      </c>
      <c r="N141" s="513"/>
      <c r="O141" s="505">
        <f t="shared" si="31"/>
        <v>0</v>
      </c>
      <c r="P141" s="505">
        <f t="shared" si="32"/>
        <v>0</v>
      </c>
    </row>
    <row r="142" spans="2:16">
      <c r="B142" s="145" t="str">
        <f t="shared" si="17"/>
        <v/>
      </c>
      <c r="C142" s="496">
        <f>IF(D94="","-",+C141+1)</f>
        <v>2059</v>
      </c>
      <c r="D142" s="350">
        <f>IF(F141+SUM(E$100:E141)=D$93,F141,D$93-SUM(E$100:E141))</f>
        <v>0</v>
      </c>
      <c r="E142" s="510">
        <f t="shared" si="33"/>
        <v>0</v>
      </c>
      <c r="F142" s="511">
        <f t="shared" si="27"/>
        <v>0</v>
      </c>
      <c r="G142" s="511">
        <f t="shared" si="28"/>
        <v>0</v>
      </c>
      <c r="H142" s="646">
        <f t="shared" si="25"/>
        <v>0</v>
      </c>
      <c r="I142" s="628">
        <f t="shared" si="26"/>
        <v>0</v>
      </c>
      <c r="J142" s="505">
        <f t="shared" si="29"/>
        <v>0</v>
      </c>
      <c r="K142" s="505"/>
      <c r="L142" s="513"/>
      <c r="M142" s="505">
        <f t="shared" si="30"/>
        <v>0</v>
      </c>
      <c r="N142" s="513"/>
      <c r="O142" s="505">
        <f t="shared" si="31"/>
        <v>0</v>
      </c>
      <c r="P142" s="505">
        <f t="shared" si="32"/>
        <v>0</v>
      </c>
    </row>
    <row r="143" spans="2:16">
      <c r="B143" s="145" t="str">
        <f t="shared" si="17"/>
        <v/>
      </c>
      <c r="C143" s="496">
        <f>IF(D94="","-",+C142+1)</f>
        <v>2060</v>
      </c>
      <c r="D143" s="350">
        <f>IF(F142+SUM(E$100:E142)=D$93,F142,D$93-SUM(E$100:E142))</f>
        <v>0</v>
      </c>
      <c r="E143" s="510">
        <f t="shared" si="33"/>
        <v>0</v>
      </c>
      <c r="F143" s="511">
        <f t="shared" si="27"/>
        <v>0</v>
      </c>
      <c r="G143" s="511">
        <f t="shared" si="28"/>
        <v>0</v>
      </c>
      <c r="H143" s="646">
        <f t="shared" si="25"/>
        <v>0</v>
      </c>
      <c r="I143" s="628">
        <f t="shared" si="26"/>
        <v>0</v>
      </c>
      <c r="J143" s="505">
        <f t="shared" si="29"/>
        <v>0</v>
      </c>
      <c r="K143" s="505"/>
      <c r="L143" s="513"/>
      <c r="M143" s="505">
        <f t="shared" si="30"/>
        <v>0</v>
      </c>
      <c r="N143" s="513"/>
      <c r="O143" s="505">
        <f t="shared" si="31"/>
        <v>0</v>
      </c>
      <c r="P143" s="505">
        <f t="shared" si="32"/>
        <v>0</v>
      </c>
    </row>
    <row r="144" spans="2:16">
      <c r="B144" s="145" t="str">
        <f t="shared" si="17"/>
        <v/>
      </c>
      <c r="C144" s="496">
        <f>IF(D94="","-",+C143+1)</f>
        <v>2061</v>
      </c>
      <c r="D144" s="350">
        <f>IF(F143+SUM(E$100:E143)=D$93,F143,D$93-SUM(E$100:E143))</f>
        <v>0</v>
      </c>
      <c r="E144" s="510">
        <f t="shared" si="33"/>
        <v>0</v>
      </c>
      <c r="F144" s="511">
        <f t="shared" si="27"/>
        <v>0</v>
      </c>
      <c r="G144" s="511">
        <f t="shared" si="28"/>
        <v>0</v>
      </c>
      <c r="H144" s="646">
        <f t="shared" si="25"/>
        <v>0</v>
      </c>
      <c r="I144" s="628">
        <f t="shared" si="26"/>
        <v>0</v>
      </c>
      <c r="J144" s="505">
        <f t="shared" si="29"/>
        <v>0</v>
      </c>
      <c r="K144" s="505"/>
      <c r="L144" s="513"/>
      <c r="M144" s="505">
        <f t="shared" si="30"/>
        <v>0</v>
      </c>
      <c r="N144" s="513"/>
      <c r="O144" s="505">
        <f t="shared" si="31"/>
        <v>0</v>
      </c>
      <c r="P144" s="505">
        <f t="shared" si="32"/>
        <v>0</v>
      </c>
    </row>
    <row r="145" spans="2:16">
      <c r="B145" s="145" t="str">
        <f t="shared" si="17"/>
        <v/>
      </c>
      <c r="C145" s="496">
        <f>IF(D94="","-",+C144+1)</f>
        <v>2062</v>
      </c>
      <c r="D145" s="350">
        <f>IF(F144+SUM(E$100:E144)=D$93,F144,D$93-SUM(E$100:E144))</f>
        <v>0</v>
      </c>
      <c r="E145" s="510">
        <f t="shared" si="33"/>
        <v>0</v>
      </c>
      <c r="F145" s="511">
        <f t="shared" si="27"/>
        <v>0</v>
      </c>
      <c r="G145" s="511">
        <f t="shared" si="28"/>
        <v>0</v>
      </c>
      <c r="H145" s="646">
        <f t="shared" si="25"/>
        <v>0</v>
      </c>
      <c r="I145" s="628">
        <f t="shared" si="26"/>
        <v>0</v>
      </c>
      <c r="J145" s="505">
        <f t="shared" si="29"/>
        <v>0</v>
      </c>
      <c r="K145" s="505"/>
      <c r="L145" s="513"/>
      <c r="M145" s="505">
        <f t="shared" si="30"/>
        <v>0</v>
      </c>
      <c r="N145" s="513"/>
      <c r="O145" s="505">
        <f t="shared" si="31"/>
        <v>0</v>
      </c>
      <c r="P145" s="505">
        <f t="shared" si="32"/>
        <v>0</v>
      </c>
    </row>
    <row r="146" spans="2:16">
      <c r="B146" s="145" t="str">
        <f t="shared" si="17"/>
        <v/>
      </c>
      <c r="C146" s="496">
        <f>IF(D94="","-",+C145+1)</f>
        <v>2063</v>
      </c>
      <c r="D146" s="350">
        <f>IF(F145+SUM(E$100:E145)=D$93,F145,D$93-SUM(E$100:E145))</f>
        <v>0</v>
      </c>
      <c r="E146" s="510">
        <f t="shared" si="33"/>
        <v>0</v>
      </c>
      <c r="F146" s="511">
        <f t="shared" si="27"/>
        <v>0</v>
      </c>
      <c r="G146" s="511">
        <f t="shared" si="28"/>
        <v>0</v>
      </c>
      <c r="H146" s="646">
        <f t="shared" si="25"/>
        <v>0</v>
      </c>
      <c r="I146" s="628">
        <f t="shared" si="26"/>
        <v>0</v>
      </c>
      <c r="J146" s="505">
        <f t="shared" si="29"/>
        <v>0</v>
      </c>
      <c r="K146" s="505"/>
      <c r="L146" s="513"/>
      <c r="M146" s="505">
        <f t="shared" si="30"/>
        <v>0</v>
      </c>
      <c r="N146" s="513"/>
      <c r="O146" s="505">
        <f t="shared" si="31"/>
        <v>0</v>
      </c>
      <c r="P146" s="505">
        <f t="shared" si="32"/>
        <v>0</v>
      </c>
    </row>
    <row r="147" spans="2:16">
      <c r="B147" s="145" t="str">
        <f t="shared" si="17"/>
        <v/>
      </c>
      <c r="C147" s="496">
        <f>IF(D94="","-",+C146+1)</f>
        <v>2064</v>
      </c>
      <c r="D147" s="350">
        <f>IF(F146+SUM(E$100:E146)=D$93,F146,D$93-SUM(E$100:E146))</f>
        <v>0</v>
      </c>
      <c r="E147" s="510">
        <f t="shared" si="33"/>
        <v>0</v>
      </c>
      <c r="F147" s="511">
        <f t="shared" si="27"/>
        <v>0</v>
      </c>
      <c r="G147" s="511">
        <f t="shared" si="28"/>
        <v>0</v>
      </c>
      <c r="H147" s="646">
        <f t="shared" si="25"/>
        <v>0</v>
      </c>
      <c r="I147" s="628">
        <f t="shared" si="26"/>
        <v>0</v>
      </c>
      <c r="J147" s="505">
        <f t="shared" si="29"/>
        <v>0</v>
      </c>
      <c r="K147" s="505"/>
      <c r="L147" s="513"/>
      <c r="M147" s="505">
        <f t="shared" si="30"/>
        <v>0</v>
      </c>
      <c r="N147" s="513"/>
      <c r="O147" s="505">
        <f t="shared" si="31"/>
        <v>0</v>
      </c>
      <c r="P147" s="505">
        <f t="shared" si="32"/>
        <v>0</v>
      </c>
    </row>
    <row r="148" spans="2:16">
      <c r="B148" s="145" t="str">
        <f t="shared" si="17"/>
        <v/>
      </c>
      <c r="C148" s="496">
        <f>IF(D94="","-",+C147+1)</f>
        <v>2065</v>
      </c>
      <c r="D148" s="350">
        <f>IF(F147+SUM(E$100:E147)=D$93,F147,D$93-SUM(E$100:E147))</f>
        <v>0</v>
      </c>
      <c r="E148" s="510">
        <f t="shared" si="33"/>
        <v>0</v>
      </c>
      <c r="F148" s="511">
        <f t="shared" si="27"/>
        <v>0</v>
      </c>
      <c r="G148" s="511">
        <f t="shared" si="28"/>
        <v>0</v>
      </c>
      <c r="H148" s="646">
        <f t="shared" si="25"/>
        <v>0</v>
      </c>
      <c r="I148" s="628">
        <f t="shared" si="26"/>
        <v>0</v>
      </c>
      <c r="J148" s="505">
        <f t="shared" si="29"/>
        <v>0</v>
      </c>
      <c r="K148" s="505"/>
      <c r="L148" s="513"/>
      <c r="M148" s="505">
        <f t="shared" si="30"/>
        <v>0</v>
      </c>
      <c r="N148" s="513"/>
      <c r="O148" s="505">
        <f t="shared" si="31"/>
        <v>0</v>
      </c>
      <c r="P148" s="505">
        <f t="shared" si="32"/>
        <v>0</v>
      </c>
    </row>
    <row r="149" spans="2:16">
      <c r="B149" s="145" t="str">
        <f t="shared" si="17"/>
        <v/>
      </c>
      <c r="C149" s="496">
        <f>IF(D94="","-",+C148+1)</f>
        <v>2066</v>
      </c>
      <c r="D149" s="350">
        <f>IF(F148+SUM(E$100:E148)=D$93,F148,D$93-SUM(E$100:E148))</f>
        <v>0</v>
      </c>
      <c r="E149" s="510">
        <f t="shared" si="33"/>
        <v>0</v>
      </c>
      <c r="F149" s="511">
        <f t="shared" si="27"/>
        <v>0</v>
      </c>
      <c r="G149" s="511">
        <f t="shared" si="28"/>
        <v>0</v>
      </c>
      <c r="H149" s="646">
        <f t="shared" si="25"/>
        <v>0</v>
      </c>
      <c r="I149" s="628">
        <f t="shared" si="26"/>
        <v>0</v>
      </c>
      <c r="J149" s="505">
        <f t="shared" si="29"/>
        <v>0</v>
      </c>
      <c r="K149" s="505"/>
      <c r="L149" s="513"/>
      <c r="M149" s="505">
        <f t="shared" si="30"/>
        <v>0</v>
      </c>
      <c r="N149" s="513"/>
      <c r="O149" s="505">
        <f t="shared" si="31"/>
        <v>0</v>
      </c>
      <c r="P149" s="505">
        <f t="shared" si="32"/>
        <v>0</v>
      </c>
    </row>
    <row r="150" spans="2:16">
      <c r="B150" s="145" t="str">
        <f t="shared" si="17"/>
        <v/>
      </c>
      <c r="C150" s="496">
        <f>IF(D94="","-",+C149+1)</f>
        <v>2067</v>
      </c>
      <c r="D150" s="350">
        <f>IF(F149+SUM(E$100:E149)=D$93,F149,D$93-SUM(E$100:E149))</f>
        <v>0</v>
      </c>
      <c r="E150" s="510">
        <f t="shared" si="33"/>
        <v>0</v>
      </c>
      <c r="F150" s="511">
        <f t="shared" si="27"/>
        <v>0</v>
      </c>
      <c r="G150" s="511">
        <f t="shared" si="28"/>
        <v>0</v>
      </c>
      <c r="H150" s="646">
        <f t="shared" si="25"/>
        <v>0</v>
      </c>
      <c r="I150" s="628">
        <f t="shared" si="26"/>
        <v>0</v>
      </c>
      <c r="J150" s="505">
        <f t="shared" si="29"/>
        <v>0</v>
      </c>
      <c r="K150" s="505"/>
      <c r="L150" s="513"/>
      <c r="M150" s="505">
        <f t="shared" si="30"/>
        <v>0</v>
      </c>
      <c r="N150" s="513"/>
      <c r="O150" s="505">
        <f t="shared" si="31"/>
        <v>0</v>
      </c>
      <c r="P150" s="505">
        <f t="shared" si="32"/>
        <v>0</v>
      </c>
    </row>
    <row r="151" spans="2:16">
      <c r="B151" s="145" t="str">
        <f t="shared" si="17"/>
        <v/>
      </c>
      <c r="C151" s="496">
        <f>IF(D94="","-",+C150+1)</f>
        <v>2068</v>
      </c>
      <c r="D151" s="350">
        <f>IF(F150+SUM(E$100:E150)=D$93,F150,D$93-SUM(E$100:E150))</f>
        <v>0</v>
      </c>
      <c r="E151" s="510">
        <f t="shared" si="33"/>
        <v>0</v>
      </c>
      <c r="F151" s="511">
        <f t="shared" si="27"/>
        <v>0</v>
      </c>
      <c r="G151" s="511">
        <f t="shared" si="28"/>
        <v>0</v>
      </c>
      <c r="H151" s="646">
        <f t="shared" si="25"/>
        <v>0</v>
      </c>
      <c r="I151" s="628">
        <f t="shared" si="26"/>
        <v>0</v>
      </c>
      <c r="J151" s="505">
        <f t="shared" si="29"/>
        <v>0</v>
      </c>
      <c r="K151" s="505"/>
      <c r="L151" s="513"/>
      <c r="M151" s="505">
        <f t="shared" si="30"/>
        <v>0</v>
      </c>
      <c r="N151" s="513"/>
      <c r="O151" s="505">
        <f t="shared" si="31"/>
        <v>0</v>
      </c>
      <c r="P151" s="505">
        <f t="shared" si="32"/>
        <v>0</v>
      </c>
    </row>
    <row r="152" spans="2:16">
      <c r="B152" s="145" t="str">
        <f t="shared" si="17"/>
        <v/>
      </c>
      <c r="C152" s="496">
        <f>IF(D94="","-",+C151+1)</f>
        <v>2069</v>
      </c>
      <c r="D152" s="350">
        <f>IF(F151+SUM(E$100:E151)=D$93,F151,D$93-SUM(E$100:E151))</f>
        <v>0</v>
      </c>
      <c r="E152" s="510">
        <f t="shared" si="33"/>
        <v>0</v>
      </c>
      <c r="F152" s="511">
        <f t="shared" si="27"/>
        <v>0</v>
      </c>
      <c r="G152" s="511">
        <f t="shared" si="28"/>
        <v>0</v>
      </c>
      <c r="H152" s="646">
        <f t="shared" si="25"/>
        <v>0</v>
      </c>
      <c r="I152" s="628">
        <f t="shared" si="26"/>
        <v>0</v>
      </c>
      <c r="J152" s="505">
        <f t="shared" si="29"/>
        <v>0</v>
      </c>
      <c r="K152" s="505"/>
      <c r="L152" s="513"/>
      <c r="M152" s="505">
        <f t="shared" si="30"/>
        <v>0</v>
      </c>
      <c r="N152" s="513"/>
      <c r="O152" s="505">
        <f t="shared" si="31"/>
        <v>0</v>
      </c>
      <c r="P152" s="505">
        <f t="shared" si="32"/>
        <v>0</v>
      </c>
    </row>
    <row r="153" spans="2:16">
      <c r="B153" s="145" t="str">
        <f t="shared" si="17"/>
        <v/>
      </c>
      <c r="C153" s="496">
        <f>IF(D94="","-",+C152+1)</f>
        <v>2070</v>
      </c>
      <c r="D153" s="350">
        <f>IF(F152+SUM(E$100:E152)=D$93,F152,D$93-SUM(E$100:E152))</f>
        <v>0</v>
      </c>
      <c r="E153" s="510">
        <f t="shared" si="33"/>
        <v>0</v>
      </c>
      <c r="F153" s="511">
        <f t="shared" si="27"/>
        <v>0</v>
      </c>
      <c r="G153" s="511">
        <f t="shared" si="28"/>
        <v>0</v>
      </c>
      <c r="H153" s="646">
        <f t="shared" si="25"/>
        <v>0</v>
      </c>
      <c r="I153" s="628">
        <f t="shared" si="26"/>
        <v>0</v>
      </c>
      <c r="J153" s="505">
        <f t="shared" si="29"/>
        <v>0</v>
      </c>
      <c r="K153" s="505"/>
      <c r="L153" s="513"/>
      <c r="M153" s="505">
        <f t="shared" si="30"/>
        <v>0</v>
      </c>
      <c r="N153" s="513"/>
      <c r="O153" s="505">
        <f t="shared" si="31"/>
        <v>0</v>
      </c>
      <c r="P153" s="505">
        <f t="shared" si="32"/>
        <v>0</v>
      </c>
    </row>
    <row r="154" spans="2:16">
      <c r="B154" s="145" t="str">
        <f t="shared" si="17"/>
        <v/>
      </c>
      <c r="C154" s="496">
        <f>IF(D94="","-",+C153+1)</f>
        <v>2071</v>
      </c>
      <c r="D154" s="350">
        <f>IF(F153+SUM(E$100:E153)=D$93,F153,D$93-SUM(E$100:E153))</f>
        <v>0</v>
      </c>
      <c r="E154" s="510">
        <f t="shared" si="33"/>
        <v>0</v>
      </c>
      <c r="F154" s="511">
        <f t="shared" si="27"/>
        <v>0</v>
      </c>
      <c r="G154" s="511">
        <f t="shared" si="28"/>
        <v>0</v>
      </c>
      <c r="H154" s="646">
        <f t="shared" si="25"/>
        <v>0</v>
      </c>
      <c r="I154" s="628">
        <f t="shared" si="26"/>
        <v>0</v>
      </c>
      <c r="J154" s="505">
        <f t="shared" si="29"/>
        <v>0</v>
      </c>
      <c r="K154" s="505"/>
      <c r="L154" s="513"/>
      <c r="M154" s="505">
        <f t="shared" si="30"/>
        <v>0</v>
      </c>
      <c r="N154" s="513"/>
      <c r="O154" s="505">
        <f t="shared" si="31"/>
        <v>0</v>
      </c>
      <c r="P154" s="505">
        <f t="shared" si="32"/>
        <v>0</v>
      </c>
    </row>
    <row r="155" spans="2:16" ht="13.5" thickBot="1">
      <c r="B155" s="145" t="str">
        <f t="shared" si="17"/>
        <v/>
      </c>
      <c r="C155" s="525">
        <f>IF(D94="","-",+C154+1)</f>
        <v>2072</v>
      </c>
      <c r="D155" s="636">
        <f>IF(F154+SUM(E$100:E154)=D$93,F154,D$93-SUM(E$100:E154))</f>
        <v>0</v>
      </c>
      <c r="E155" s="527">
        <f t="shared" si="33"/>
        <v>0</v>
      </c>
      <c r="F155" s="528">
        <f t="shared" si="27"/>
        <v>0</v>
      </c>
      <c r="G155" s="528">
        <f t="shared" si="28"/>
        <v>0</v>
      </c>
      <c r="H155" s="646">
        <f t="shared" si="25"/>
        <v>0</v>
      </c>
      <c r="I155" s="624">
        <f t="shared" si="26"/>
        <v>0</v>
      </c>
      <c r="J155" s="532">
        <f t="shared" si="29"/>
        <v>0</v>
      </c>
      <c r="K155" s="505"/>
      <c r="L155" s="531"/>
      <c r="M155" s="532">
        <f t="shared" si="30"/>
        <v>0</v>
      </c>
      <c r="N155" s="531"/>
      <c r="O155" s="532">
        <f t="shared" si="31"/>
        <v>0</v>
      </c>
      <c r="P155" s="532">
        <f t="shared" si="32"/>
        <v>0</v>
      </c>
    </row>
    <row r="156" spans="2:16">
      <c r="C156" s="350" t="s">
        <v>75</v>
      </c>
      <c r="D156" s="295"/>
      <c r="E156" s="295">
        <f>SUM(E100:E155)</f>
        <v>9653725.9999999981</v>
      </c>
      <c r="F156" s="295"/>
      <c r="G156" s="295"/>
      <c r="H156" s="295">
        <f>SUM(H100:H155)</f>
        <v>24601592.449597295</v>
      </c>
      <c r="I156" s="295">
        <f>SUM(I100:I155)</f>
        <v>24601592.449597295</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17" priority="2" stopIfTrue="1" operator="equal">
      <formula>$I$10</formula>
    </cfRule>
  </conditionalFormatting>
  <conditionalFormatting sqref="C100:C155">
    <cfRule type="cellIs" dxfId="16" priority="3" stopIfTrue="1" operator="equal">
      <formula>$J$93</formula>
    </cfRule>
  </conditionalFormatting>
  <conditionalFormatting sqref="C72">
    <cfRule type="cellIs" dxfId="15"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8"/>
  <dimension ref="A1:U133"/>
  <sheetViews>
    <sheetView topLeftCell="F1" zoomScale="80" zoomScaleNormal="80" zoomScaleSheetLayoutView="90" workbookViewId="0">
      <selection activeCell="U34" sqref="U34"/>
    </sheetView>
  </sheetViews>
  <sheetFormatPr defaultColWidth="8.7109375" defaultRowHeight="12.75" customHeight="1"/>
  <cols>
    <col min="1" max="1" width="8.140625" style="145" customWidth="1"/>
    <col min="2" max="2" width="6.7109375" style="145" customWidth="1"/>
    <col min="3" max="3" width="23.28515625" style="145" customWidth="1"/>
    <col min="4" max="8" width="17.7109375" style="145" customWidth="1"/>
    <col min="9" max="9" width="16.140625" style="145" customWidth="1"/>
    <col min="10" max="10" width="2.140625" style="145" customWidth="1"/>
    <col min="11" max="11" width="17.7109375" style="145" customWidth="1"/>
    <col min="12" max="12" width="16.140625" style="145" customWidth="1"/>
    <col min="13" max="13" width="17.7109375" style="145" customWidth="1"/>
    <col min="14" max="14" width="16.7109375" style="145" customWidth="1"/>
    <col min="15" max="15" width="22.42578125" style="145" customWidth="1"/>
    <col min="16" max="16" width="3.5703125" style="145" bestFit="1" customWidth="1"/>
    <col min="17" max="17" width="4.7109375" style="145" customWidth="1"/>
    <col min="18" max="18" width="15.42578125" style="145" customWidth="1"/>
    <col min="19" max="19" width="81.85546875" style="145" bestFit="1" customWidth="1"/>
    <col min="20" max="22" width="8.7109375" style="145"/>
    <col min="23" max="23" width="9.140625" style="145" customWidth="1"/>
    <col min="24" max="16384" width="8.7109375" style="145"/>
  </cols>
  <sheetData>
    <row r="1" spans="1:21" ht="18">
      <c r="A1" s="662" t="s">
        <v>109</v>
      </c>
      <c r="B1" s="663"/>
      <c r="C1" s="663"/>
      <c r="D1" s="663"/>
      <c r="E1" s="663"/>
      <c r="F1" s="663"/>
      <c r="G1" s="663"/>
      <c r="H1" s="663"/>
      <c r="I1" s="663"/>
      <c r="J1" s="663"/>
      <c r="U1" s="145">
        <v>2017</v>
      </c>
    </row>
    <row r="2" spans="1:21" ht="18">
      <c r="A2" s="665" t="str">
        <f>L19&amp;" Cost of Service Formula Rate Projected on "&amp;L19-1&amp;" FF1 Balances"</f>
        <v>2021 Cost of Service Formula Rate Projected on 2020 FF1 Balances</v>
      </c>
      <c r="B2" s="665"/>
      <c r="C2" s="665"/>
      <c r="D2" s="665"/>
      <c r="E2" s="665"/>
      <c r="F2" s="665"/>
      <c r="G2" s="665"/>
      <c r="H2" s="665"/>
      <c r="I2" s="665"/>
      <c r="J2" s="665"/>
    </row>
    <row r="3" spans="1:21" ht="18">
      <c r="A3" s="664" t="s">
        <v>124</v>
      </c>
      <c r="B3" s="665"/>
      <c r="C3" s="665"/>
      <c r="D3" s="665"/>
      <c r="E3" s="665"/>
      <c r="F3" s="665"/>
      <c r="G3" s="665"/>
      <c r="H3" s="665"/>
      <c r="I3" s="665"/>
      <c r="J3" s="665"/>
      <c r="Q3" s="233" t="s">
        <v>110</v>
      </c>
    </row>
    <row r="4" spans="1:21" ht="18">
      <c r="A4" s="665" t="str">
        <f>"Based on a Carrying Charge Derived from ""Historic"" "&amp;L19-1&amp;" Data"</f>
        <v>Based on a Carrying Charge Derived from "Historic" 2020 Data</v>
      </c>
      <c r="B4" s="665"/>
      <c r="C4" s="665"/>
      <c r="D4" s="665"/>
      <c r="E4" s="665"/>
      <c r="F4" s="665"/>
      <c r="G4" s="665"/>
      <c r="H4" s="665"/>
      <c r="I4" s="665"/>
      <c r="J4" s="665"/>
      <c r="K4" s="665"/>
    </row>
    <row r="5" spans="1:21" ht="18">
      <c r="A5" s="666" t="s">
        <v>188</v>
      </c>
      <c r="B5" s="666"/>
      <c r="C5" s="666"/>
      <c r="D5" s="666"/>
      <c r="E5" s="666"/>
      <c r="F5" s="666"/>
      <c r="G5" s="666"/>
      <c r="H5" s="666"/>
      <c r="I5" s="666"/>
      <c r="J5" s="666"/>
    </row>
    <row r="6" spans="1:21" ht="18">
      <c r="A6" s="151"/>
      <c r="B6" s="151"/>
      <c r="C6" s="151"/>
      <c r="D6" s="151"/>
      <c r="E6" s="151"/>
      <c r="F6" s="151"/>
      <c r="G6" s="151"/>
      <c r="H6" s="151"/>
      <c r="I6" s="151"/>
      <c r="J6" s="151"/>
    </row>
    <row r="7" spans="1:21">
      <c r="D7" s="157"/>
      <c r="H7" s="213"/>
      <c r="J7" s="221"/>
    </row>
    <row r="8" spans="1:21" ht="33.75" customHeight="1">
      <c r="B8" s="234" t="s">
        <v>0</v>
      </c>
      <c r="C8" s="659" t="str">
        <f>"Calculate Return and Income Taxes with "&amp;F13&amp;" basis point ROE increase for Projects Qualified for Incentive."</f>
        <v>Calculate Return and Income Taxes with 0 basis point ROE increase for Projects Qualified for Incentive.</v>
      </c>
      <c r="D8" s="660"/>
      <c r="E8" s="660"/>
      <c r="F8" s="660"/>
      <c r="G8" s="660"/>
      <c r="H8" s="660"/>
      <c r="J8" s="221"/>
      <c r="R8" s="235"/>
    </row>
    <row r="9" spans="1:21">
      <c r="D9" s="157"/>
      <c r="H9" s="213"/>
      <c r="J9" s="221"/>
    </row>
    <row r="10" spans="1:21" ht="15.75">
      <c r="C10" s="236" t="str">
        <f>"A.   Determine 'R' with hypothetical "&amp;F13&amp;" basis point increase in ROE for Identified Projects"</f>
        <v>A.   Determine 'R' with hypothetical 0 basis point increase in ROE for Identified Projects</v>
      </c>
      <c r="D10" s="157"/>
      <c r="H10" s="213"/>
      <c r="J10" s="221"/>
    </row>
    <row r="11" spans="1:21">
      <c r="D11" s="157"/>
      <c r="H11" s="213"/>
      <c r="J11" s="221"/>
    </row>
    <row r="12" spans="1:21">
      <c r="C12" s="237" t="str">
        <f>S101</f>
        <v xml:space="preserve">   ROE w/o incentives  (TCOS, ln 143)</v>
      </c>
      <c r="D12" s="157"/>
      <c r="E12" s="238"/>
      <c r="F12" s="239">
        <f>+R101</f>
        <v>0.105</v>
      </c>
      <c r="G12" s="240"/>
      <c r="H12" s="241"/>
      <c r="I12" s="242"/>
      <c r="J12" s="243"/>
      <c r="K12" s="242"/>
      <c r="L12" s="242"/>
      <c r="M12" s="242"/>
      <c r="N12" s="242"/>
      <c r="O12" s="238"/>
      <c r="P12" s="242"/>
      <c r="Q12" s="244"/>
      <c r="U12" s="245"/>
    </row>
    <row r="13" spans="1:21">
      <c r="C13" s="237" t="s">
        <v>1</v>
      </c>
      <c r="D13" s="157"/>
      <c r="E13" s="238"/>
      <c r="F13" s="246">
        <f>+R102</f>
        <v>0</v>
      </c>
      <c r="G13" s="145" t="s">
        <v>133</v>
      </c>
      <c r="K13" s="242"/>
      <c r="L13" s="242"/>
      <c r="M13" s="242"/>
      <c r="N13" s="242"/>
      <c r="O13" s="238"/>
      <c r="P13" s="242"/>
      <c r="Q13" s="244"/>
      <c r="U13" s="245"/>
    </row>
    <row r="14" spans="1:21" ht="13.5" thickBot="1">
      <c r="C14" s="237" t="str">
        <f>"   ROE with additional "&amp;F13&amp;" basis point incentive"</f>
        <v xml:space="preserve">   ROE with additional 0 basis point incentive</v>
      </c>
      <c r="D14" s="238"/>
      <c r="E14" s="238"/>
      <c r="F14" s="247">
        <f>IF((F12+(F13/10000)&gt;0.1245),"ERROR",F12+(F13/10000))</f>
        <v>0.105</v>
      </c>
      <c r="G14" s="248" t="s">
        <v>2</v>
      </c>
      <c r="H14" s="242"/>
      <c r="I14" s="242"/>
      <c r="J14" s="243"/>
      <c r="K14" s="242"/>
      <c r="L14" s="242"/>
      <c r="M14" s="242"/>
      <c r="N14" s="242"/>
      <c r="O14" s="238"/>
      <c r="P14" s="242"/>
      <c r="Q14" s="244"/>
      <c r="U14" s="249"/>
    </row>
    <row r="15" spans="1:21">
      <c r="C15" s="237" t="s">
        <v>3</v>
      </c>
      <c r="D15" s="157"/>
      <c r="E15" s="238"/>
      <c r="F15" s="247"/>
      <c r="G15" s="238"/>
      <c r="H15" s="242"/>
      <c r="I15" s="242"/>
      <c r="J15" s="243"/>
      <c r="K15" s="653" t="s">
        <v>4</v>
      </c>
      <c r="L15" s="654"/>
      <c r="M15" s="654"/>
      <c r="N15" s="654"/>
      <c r="O15" s="655"/>
      <c r="P15" s="242"/>
      <c r="Q15" s="244"/>
      <c r="U15" s="249"/>
    </row>
    <row r="16" spans="1:21">
      <c r="C16" s="243"/>
      <c r="D16" s="250" t="s">
        <v>5</v>
      </c>
      <c r="E16" s="250" t="s">
        <v>6</v>
      </c>
      <c r="F16" s="251" t="s">
        <v>7</v>
      </c>
      <c r="G16" s="238"/>
      <c r="H16" s="242"/>
      <c r="I16" s="242"/>
      <c r="J16" s="243"/>
      <c r="K16" s="656"/>
      <c r="L16" s="657"/>
      <c r="M16" s="657"/>
      <c r="N16" s="657"/>
      <c r="O16" s="658"/>
      <c r="P16" s="242"/>
      <c r="Q16" s="244"/>
    </row>
    <row r="17" spans="3:21">
      <c r="C17" s="252" t="s">
        <v>8</v>
      </c>
      <c r="D17" s="253">
        <f>+R103</f>
        <v>0.46050615614234741</v>
      </c>
      <c r="E17" s="254">
        <f>+R104</f>
        <v>4.1187278923387416E-2</v>
      </c>
      <c r="F17" s="255">
        <f>E17*D17</f>
        <v>1.8966995498971861E-2</v>
      </c>
      <c r="G17" s="238"/>
      <c r="H17" s="242"/>
      <c r="I17" s="256"/>
      <c r="J17" s="257"/>
      <c r="K17" s="258"/>
      <c r="L17" s="259"/>
      <c r="M17" s="243" t="s">
        <v>9</v>
      </c>
      <c r="N17" s="243" t="s">
        <v>10</v>
      </c>
      <c r="O17" s="260" t="s">
        <v>11</v>
      </c>
      <c r="P17" s="242"/>
      <c r="Q17" s="244"/>
      <c r="U17" s="242"/>
    </row>
    <row r="18" spans="3:21">
      <c r="C18" s="252" t="s">
        <v>12</v>
      </c>
      <c r="D18" s="253">
        <f>+R105</f>
        <v>0</v>
      </c>
      <c r="E18" s="254">
        <f>+R106</f>
        <v>0</v>
      </c>
      <c r="F18" s="255">
        <f>E18*D18</f>
        <v>0</v>
      </c>
      <c r="G18" s="261"/>
      <c r="H18" s="261"/>
      <c r="I18" s="262"/>
      <c r="J18" s="263"/>
      <c r="K18" s="264"/>
      <c r="L18" s="221"/>
      <c r="M18" s="221"/>
      <c r="N18" s="221"/>
      <c r="O18" s="265"/>
      <c r="P18" s="261"/>
      <c r="Q18" s="244"/>
      <c r="U18" s="249"/>
    </row>
    <row r="19" spans="3:21" ht="13.5" thickBot="1">
      <c r="C19" s="266" t="s">
        <v>13</v>
      </c>
      <c r="D19" s="253">
        <f>+R107</f>
        <v>0.53949384385765264</v>
      </c>
      <c r="E19" s="254">
        <f>+F14</f>
        <v>0.105</v>
      </c>
      <c r="F19" s="267">
        <f>E19*D19</f>
        <v>5.6646853605053525E-2</v>
      </c>
      <c r="G19" s="261"/>
      <c r="H19" s="261"/>
      <c r="I19" s="247"/>
      <c r="J19" s="263"/>
      <c r="K19" s="268" t="s">
        <v>14</v>
      </c>
      <c r="L19" s="269">
        <v>2021</v>
      </c>
      <c r="M19" s="270">
        <f>SUM('OKT.001:OKT.xyz - blank'!N5)</f>
        <v>38282711.552259907</v>
      </c>
      <c r="N19" s="270">
        <f>SUM('OKT.001:OKT.xyz - blank'!N6)</f>
        <v>38282711.552259907</v>
      </c>
      <c r="O19" s="271">
        <f>+N19-M19</f>
        <v>0</v>
      </c>
      <c r="P19" s="262"/>
      <c r="Q19" s="244"/>
      <c r="U19" s="249"/>
    </row>
    <row r="20" spans="3:21">
      <c r="C20" s="237"/>
      <c r="D20" s="238"/>
      <c r="E20" s="272" t="s">
        <v>15</v>
      </c>
      <c r="F20" s="255">
        <f>SUM(F17:F19)</f>
        <v>7.5613849104025382E-2</v>
      </c>
      <c r="G20" s="261"/>
      <c r="H20" s="261"/>
      <c r="I20" s="262"/>
      <c r="J20" s="263"/>
      <c r="M20" s="273" t="str">
        <f>IF(M19=SUM('OKT.001:OKT.xyz - blank'!N5),"","ERROR")</f>
        <v/>
      </c>
      <c r="N20" s="273" t="str">
        <f>IF(N19=SUM('OKT.001:OKT.xyz - blank'!N6),"","ERROR")</f>
        <v/>
      </c>
      <c r="O20" s="273" t="str">
        <f>IF(O19=SUM('OKT.001:OKT.xyz - blank'!N7),"","ERROR")</f>
        <v/>
      </c>
      <c r="P20" s="261"/>
      <c r="Q20" s="244"/>
      <c r="U20" s="249"/>
    </row>
    <row r="21" spans="3:21">
      <c r="D21" s="274"/>
      <c r="E21" s="274"/>
      <c r="F21" s="261"/>
      <c r="G21" s="261"/>
      <c r="H21" s="261"/>
      <c r="I21" s="261"/>
      <c r="J21" s="275"/>
      <c r="K21" s="175" t="s">
        <v>16</v>
      </c>
      <c r="P21" s="261"/>
      <c r="Q21" s="244"/>
      <c r="U21" s="249"/>
    </row>
    <row r="22" spans="3:21" ht="15.75">
      <c r="C22" s="236" t="str">
        <f>"B.   Determine Return using 'R' with hypothetical "&amp;F13&amp;" basis point ROE increase for Identified Projects."</f>
        <v>B.   Determine Return using 'R' with hypothetical 0 basis point ROE increase for Identified Projects.</v>
      </c>
      <c r="D22" s="274"/>
      <c r="E22" s="274"/>
      <c r="F22" s="276"/>
      <c r="G22" s="261"/>
      <c r="H22" s="238"/>
      <c r="I22" s="261"/>
      <c r="J22" s="275"/>
      <c r="K22" s="145" t="s">
        <v>17</v>
      </c>
      <c r="P22" s="261"/>
      <c r="Q22" s="244"/>
      <c r="U22" s="249"/>
    </row>
    <row r="23" spans="3:21">
      <c r="C23" s="243"/>
      <c r="D23" s="274"/>
      <c r="E23" s="274"/>
      <c r="F23" s="275"/>
      <c r="G23" s="275"/>
      <c r="H23" s="275"/>
      <c r="I23" s="275"/>
      <c r="J23" s="275"/>
      <c r="K23" s="262"/>
      <c r="L23" s="277"/>
      <c r="M23" s="278"/>
      <c r="N23" s="262"/>
      <c r="O23" s="261"/>
      <c r="P23" s="275"/>
      <c r="Q23" s="279"/>
      <c r="U23" s="249"/>
    </row>
    <row r="24" spans="3:21">
      <c r="C24" s="237" t="str">
        <f>+S108</f>
        <v xml:space="preserve">   Rate Base  (TCOS, ln 63)</v>
      </c>
      <c r="D24" s="238"/>
      <c r="E24" s="280">
        <f>+R108</f>
        <v>795428152.53506243</v>
      </c>
      <c r="F24" s="281"/>
      <c r="G24" s="275"/>
      <c r="H24" s="275"/>
      <c r="I24" s="275"/>
      <c r="J24" s="275"/>
      <c r="K24" s="275"/>
      <c r="L24" s="275"/>
      <c r="M24" s="275"/>
      <c r="N24" s="275"/>
      <c r="O24" s="275"/>
      <c r="P24" s="281"/>
      <c r="Q24" s="279"/>
      <c r="U24" s="249"/>
    </row>
    <row r="25" spans="3:21">
      <c r="C25" s="243" t="s">
        <v>18</v>
      </c>
      <c r="D25" s="240"/>
      <c r="E25" s="282">
        <f>F20</f>
        <v>7.5613849104025382E-2</v>
      </c>
      <c r="F25" s="275"/>
      <c r="G25" s="275"/>
      <c r="H25" s="275"/>
      <c r="I25" s="275"/>
      <c r="J25" s="275"/>
      <c r="K25" s="275"/>
      <c r="L25" s="275"/>
      <c r="M25" s="283"/>
      <c r="N25" s="275"/>
      <c r="O25" s="275"/>
      <c r="P25" s="275"/>
      <c r="Q25" s="279"/>
      <c r="U25" s="249"/>
    </row>
    <row r="26" spans="3:21">
      <c r="C26" s="284" t="s">
        <v>19</v>
      </c>
      <c r="D26" s="284"/>
      <c r="E26" s="262">
        <f>E24*E25</f>
        <v>60145384.298879899</v>
      </c>
      <c r="F26" s="275"/>
      <c r="G26" s="275"/>
      <c r="H26" s="275"/>
      <c r="I26" s="263"/>
      <c r="J26" s="263"/>
      <c r="K26" s="263"/>
      <c r="L26" s="263"/>
      <c r="M26" s="263"/>
      <c r="N26" s="263"/>
      <c r="O26" s="275"/>
      <c r="P26" s="275"/>
      <c r="Q26" s="279"/>
      <c r="U26" s="249"/>
    </row>
    <row r="27" spans="3:21">
      <c r="C27" s="285"/>
      <c r="D27" s="242"/>
      <c r="E27" s="242"/>
      <c r="F27" s="275"/>
      <c r="G27" s="275"/>
      <c r="H27" s="275"/>
      <c r="I27" s="263"/>
      <c r="J27" s="263"/>
      <c r="K27" s="263"/>
      <c r="L27" s="263"/>
      <c r="M27" s="263"/>
      <c r="N27" s="263"/>
      <c r="O27" s="275"/>
      <c r="P27" s="275"/>
      <c r="Q27" s="279"/>
      <c r="U27" s="249"/>
    </row>
    <row r="28" spans="3:21" ht="15.7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8"/>
      <c r="J28" s="288"/>
      <c r="K28" s="288"/>
      <c r="L28" s="288"/>
      <c r="M28" s="288"/>
      <c r="N28" s="288"/>
      <c r="O28" s="287"/>
      <c r="P28" s="287"/>
      <c r="Q28" s="279"/>
      <c r="U28" s="249"/>
    </row>
    <row r="29" spans="3:21">
      <c r="C29" s="237"/>
      <c r="D29" s="242"/>
      <c r="E29" s="242"/>
      <c r="F29" s="275"/>
      <c r="G29" s="275"/>
      <c r="H29" s="275"/>
      <c r="I29" s="263"/>
      <c r="J29" s="263"/>
      <c r="K29" s="263"/>
      <c r="L29" s="263"/>
      <c r="M29" s="263"/>
      <c r="N29" s="263"/>
      <c r="O29" s="275"/>
      <c r="P29" s="275"/>
      <c r="Q29" s="279"/>
      <c r="U29" s="289"/>
    </row>
    <row r="30" spans="3:21">
      <c r="C30" s="243" t="s">
        <v>20</v>
      </c>
      <c r="D30" s="290"/>
      <c r="E30" s="291">
        <f>E26</f>
        <v>60145384.298879899</v>
      </c>
      <c r="F30" s="275"/>
      <c r="G30" s="275"/>
      <c r="H30" s="275"/>
      <c r="I30" s="275"/>
      <c r="J30" s="275"/>
      <c r="K30" s="275"/>
      <c r="L30" s="275"/>
      <c r="M30" s="275"/>
      <c r="N30" s="275"/>
      <c r="O30" s="275"/>
      <c r="P30" s="275"/>
      <c r="Q30" s="279"/>
      <c r="U30" s="249"/>
    </row>
    <row r="31" spans="3:21">
      <c r="C31" s="237" t="str">
        <f>+S109</f>
        <v xml:space="preserve">   Tax Rate  (TCOS, ln 99)</v>
      </c>
      <c r="D31" s="290"/>
      <c r="E31" s="292">
        <f>+R109</f>
        <v>0.254714</v>
      </c>
      <c r="F31" s="275"/>
      <c r="G31" s="275"/>
      <c r="H31" s="275"/>
      <c r="I31" s="275"/>
      <c r="J31" s="275"/>
      <c r="K31" s="275"/>
      <c r="L31" s="275"/>
      <c r="M31" s="275"/>
      <c r="N31" s="275"/>
      <c r="O31" s="275"/>
      <c r="P31" s="275"/>
      <c r="Q31" s="279"/>
      <c r="R31" s="221"/>
      <c r="S31" s="221"/>
      <c r="T31" s="221"/>
      <c r="U31" s="249"/>
    </row>
    <row r="32" spans="3:21">
      <c r="C32" s="243" t="s">
        <v>21</v>
      </c>
      <c r="D32" s="293"/>
      <c r="E32" s="247">
        <f>IF(F17&gt;0,($E31/(1-$E31))*(1-$F17/$F20),0)</f>
        <v>0.2560379250207292</v>
      </c>
      <c r="F32" s="279"/>
      <c r="G32" s="294"/>
      <c r="H32" s="295"/>
      <c r="I32" s="279"/>
      <c r="J32" s="279"/>
      <c r="K32" s="279"/>
      <c r="L32" s="279"/>
      <c r="M32" s="279"/>
      <c r="N32" s="279"/>
      <c r="O32" s="279"/>
      <c r="P32" s="279"/>
      <c r="Q32" s="279"/>
      <c r="R32" s="221"/>
      <c r="S32" s="221"/>
      <c r="T32" s="221"/>
      <c r="U32" s="249"/>
    </row>
    <row r="33" spans="2:21">
      <c r="C33" s="296" t="s">
        <v>22</v>
      </c>
      <c r="D33" s="297"/>
      <c r="E33" s="298">
        <f>E30*E32</f>
        <v>15399499.395459555</v>
      </c>
      <c r="F33" s="299"/>
      <c r="G33" s="279"/>
      <c r="H33" s="295"/>
      <c r="I33" s="279"/>
      <c r="J33" s="279"/>
      <c r="K33" s="279"/>
      <c r="L33" s="279"/>
      <c r="M33" s="279"/>
      <c r="N33" s="279"/>
      <c r="O33" s="279"/>
      <c r="P33" s="279"/>
      <c r="Q33" s="279"/>
      <c r="R33" s="221"/>
      <c r="S33" s="221"/>
      <c r="T33" s="221"/>
      <c r="U33" s="300"/>
    </row>
    <row r="34" spans="2:21" ht="15">
      <c r="C34" s="237" t="str">
        <f>+S110</f>
        <v xml:space="preserve">   ITC Adjustment  (TCOS, ln 108)</v>
      </c>
      <c r="D34" s="301"/>
      <c r="E34" s="302">
        <f>+R110</f>
        <v>0</v>
      </c>
      <c r="F34" s="301"/>
      <c r="G34" s="301"/>
      <c r="H34" s="301"/>
      <c r="I34" s="301"/>
      <c r="J34" s="301"/>
      <c r="K34" s="301"/>
      <c r="L34" s="301"/>
      <c r="M34" s="301"/>
      <c r="N34" s="301"/>
      <c r="O34" s="301"/>
      <c r="P34" s="303"/>
      <c r="Q34" s="301"/>
      <c r="R34" s="221"/>
      <c r="S34" s="221"/>
      <c r="T34" s="221"/>
      <c r="U34" s="289"/>
    </row>
    <row r="35" spans="2:21" ht="15">
      <c r="C35" s="285" t="s">
        <v>23</v>
      </c>
      <c r="D35" s="301"/>
      <c r="E35" s="302">
        <f>E33+E34</f>
        <v>15399499.395459555</v>
      </c>
      <c r="F35" s="301"/>
      <c r="G35" s="301"/>
      <c r="H35" s="301"/>
      <c r="I35" s="301"/>
      <c r="J35" s="301"/>
      <c r="K35" s="301"/>
      <c r="L35" s="301"/>
      <c r="M35" s="301"/>
      <c r="N35" s="301"/>
      <c r="O35" s="301"/>
      <c r="P35" s="304"/>
      <c r="Q35" s="301"/>
      <c r="U35" s="244"/>
    </row>
    <row r="36" spans="2:21" ht="12.75" customHeight="1">
      <c r="C36" s="305"/>
      <c r="D36" s="301"/>
      <c r="E36" s="301"/>
      <c r="F36" s="301"/>
      <c r="G36" s="301"/>
      <c r="H36" s="301"/>
      <c r="I36" s="301"/>
      <c r="J36" s="301"/>
      <c r="K36" s="301"/>
      <c r="L36" s="301"/>
      <c r="M36" s="301"/>
      <c r="N36" s="301"/>
      <c r="O36" s="301"/>
      <c r="P36" s="304"/>
      <c r="Q36" s="301"/>
      <c r="R36" s="244"/>
      <c r="S36" s="244"/>
      <c r="T36" s="244"/>
      <c r="U36" s="244"/>
    </row>
    <row r="37" spans="2:21" ht="18.75">
      <c r="B37" s="234" t="s">
        <v>24</v>
      </c>
      <c r="C37" s="306" t="str">
        <f>"Calculate Net Plant Carrying Charge Rate (Fixed Charge Rate or FCR) with hypothetical "&amp;F13&amp;" basis point"</f>
        <v>Calculate Net Plant Carrying Charge Rate (Fixed Charge Rate or FCR) with hypothetical 0 basis point</v>
      </c>
      <c r="D37" s="301"/>
      <c r="E37" s="301"/>
      <c r="F37" s="301"/>
      <c r="G37" s="301"/>
      <c r="H37" s="301"/>
      <c r="I37" s="301"/>
      <c r="J37" s="301"/>
      <c r="K37" s="301"/>
      <c r="L37" s="301"/>
      <c r="M37" s="301"/>
      <c r="N37" s="301"/>
      <c r="O37" s="301"/>
      <c r="P37" s="304"/>
      <c r="Q37" s="301"/>
      <c r="R37" s="244"/>
      <c r="S37" s="244"/>
      <c r="T37" s="244"/>
      <c r="U37" s="244"/>
    </row>
    <row r="38" spans="2:21" ht="15.75" customHeight="1">
      <c r="B38" s="234"/>
      <c r="C38" s="306" t="str">
        <f>"ROE increase."</f>
        <v>ROE increase.</v>
      </c>
      <c r="D38" s="301"/>
      <c r="E38" s="301"/>
      <c r="F38" s="301"/>
      <c r="G38" s="301"/>
      <c r="H38" s="301"/>
      <c r="I38" s="301"/>
      <c r="J38" s="301"/>
      <c r="K38" s="301"/>
      <c r="L38" s="301"/>
      <c r="M38" s="301"/>
      <c r="N38" s="301"/>
      <c r="O38" s="301"/>
      <c r="P38" s="304"/>
      <c r="Q38" s="301"/>
      <c r="R38" s="244"/>
      <c r="S38" s="244"/>
      <c r="T38" s="244"/>
      <c r="U38" s="244"/>
    </row>
    <row r="39" spans="2:21" ht="12.75" customHeight="1">
      <c r="C39" s="305"/>
      <c r="D39" s="301"/>
      <c r="E39" s="301"/>
      <c r="F39" s="301"/>
      <c r="G39" s="301"/>
      <c r="H39" s="301"/>
      <c r="I39" s="301"/>
      <c r="J39" s="301"/>
      <c r="K39" s="301"/>
      <c r="L39" s="301"/>
      <c r="M39" s="301"/>
      <c r="N39" s="301"/>
      <c r="O39" s="301"/>
      <c r="P39" s="304"/>
      <c r="Q39" s="301"/>
      <c r="R39" s="244"/>
      <c r="S39" s="244"/>
      <c r="T39" s="244"/>
      <c r="U39" s="244"/>
    </row>
    <row r="40" spans="2:21" ht="15.75">
      <c r="B40" s="244"/>
      <c r="C40" s="307" t="s">
        <v>240</v>
      </c>
      <c r="D40" s="308"/>
      <c r="E40" s="308"/>
      <c r="F40" s="308"/>
      <c r="G40" s="308"/>
      <c r="H40" s="308"/>
      <c r="I40" s="308"/>
      <c r="J40" s="308"/>
      <c r="K40" s="308"/>
      <c r="L40" s="308"/>
      <c r="M40" s="308"/>
      <c r="N40" s="308"/>
      <c r="O40" s="308"/>
      <c r="P40" s="302"/>
      <c r="Q40" s="308"/>
      <c r="R40" s="244"/>
      <c r="S40" s="244"/>
      <c r="T40" s="244"/>
      <c r="U40" s="244"/>
    </row>
    <row r="41" spans="2:21" ht="15.75">
      <c r="B41" s="244"/>
      <c r="C41" s="307"/>
      <c r="D41" s="308"/>
      <c r="E41" s="308"/>
      <c r="F41" s="308"/>
      <c r="G41" s="308"/>
      <c r="H41" s="308"/>
      <c r="I41" s="308"/>
      <c r="J41" s="308"/>
      <c r="K41" s="308"/>
      <c r="L41" s="308"/>
      <c r="M41" s="308"/>
      <c r="N41" s="308"/>
      <c r="O41" s="308"/>
      <c r="P41" s="302"/>
      <c r="Q41" s="308"/>
      <c r="R41" s="244"/>
      <c r="S41" s="244"/>
      <c r="T41" s="244"/>
      <c r="U41" s="244"/>
    </row>
    <row r="42" spans="2:21" ht="12.75" customHeight="1">
      <c r="B42" s="244"/>
      <c r="C42" s="237" t="str">
        <f>+S113</f>
        <v xml:space="preserve">   Net Revenue Requirement  (TCOS, ln 117)</v>
      </c>
      <c r="D42" s="308"/>
      <c r="E42" s="308"/>
      <c r="F42" s="302">
        <f>+R113</f>
        <v>132702347.60129565</v>
      </c>
      <c r="G42" s="308"/>
      <c r="H42" s="308"/>
      <c r="I42" s="308"/>
      <c r="J42" s="308"/>
      <c r="K42" s="308"/>
      <c r="L42" s="308"/>
      <c r="M42" s="308"/>
      <c r="N42" s="308"/>
      <c r="O42" s="308"/>
      <c r="P42" s="302"/>
      <c r="Q42" s="308"/>
      <c r="R42" s="244"/>
      <c r="S42" s="244"/>
      <c r="T42" s="244"/>
      <c r="U42" s="244"/>
    </row>
    <row r="43" spans="2:21">
      <c r="B43" s="244"/>
      <c r="C43" s="237" t="str">
        <f>+S114</f>
        <v xml:space="preserve">   Return  (TCOS, ln 112)</v>
      </c>
      <c r="D43" s="308"/>
      <c r="E43" s="308"/>
      <c r="F43" s="309">
        <f>+R114</f>
        <v>60145384.298879899</v>
      </c>
      <c r="G43" s="310"/>
      <c r="H43" s="310"/>
      <c r="I43" s="310"/>
      <c r="J43" s="310"/>
      <c r="K43" s="310"/>
      <c r="L43" s="310"/>
      <c r="M43" s="310"/>
      <c r="N43" s="310"/>
      <c r="O43" s="310"/>
      <c r="P43" s="302"/>
      <c r="Q43" s="308"/>
      <c r="R43" s="244"/>
      <c r="S43" s="244"/>
      <c r="T43" s="244"/>
      <c r="U43" s="244"/>
    </row>
    <row r="44" spans="2:21">
      <c r="B44" s="244"/>
      <c r="C44" s="237" t="str">
        <f>+S115</f>
        <v xml:space="preserve">   Income Taxes  (TCOS, ln 111)</v>
      </c>
      <c r="D44" s="308"/>
      <c r="E44" s="308"/>
      <c r="F44" s="302">
        <f>+R115</f>
        <v>14920147.723752318</v>
      </c>
      <c r="G44" s="308"/>
      <c r="H44" s="308"/>
      <c r="I44" s="311"/>
      <c r="J44" s="311"/>
      <c r="K44" s="311"/>
      <c r="L44" s="311"/>
      <c r="M44" s="311"/>
      <c r="N44" s="311"/>
      <c r="O44" s="308"/>
      <c r="P44" s="308"/>
      <c r="Q44" s="308"/>
      <c r="R44" s="244"/>
      <c r="S44" s="244"/>
      <c r="T44" s="244"/>
      <c r="U44" s="244"/>
    </row>
    <row r="45" spans="2:21">
      <c r="B45" s="244"/>
      <c r="C45" s="312" t="str">
        <f>+S116</f>
        <v xml:space="preserve">  Gross Margin Taxes  (TCOS, ln 116)</v>
      </c>
      <c r="D45" s="308"/>
      <c r="E45" s="308"/>
      <c r="F45" s="313">
        <f>+R116</f>
        <v>0</v>
      </c>
      <c r="G45" s="308"/>
      <c r="H45" s="308"/>
      <c r="I45" s="311"/>
      <c r="J45" s="311"/>
      <c r="K45" s="311"/>
      <c r="L45" s="311"/>
      <c r="M45" s="311"/>
      <c r="N45" s="311"/>
      <c r="O45" s="308"/>
      <c r="P45" s="308"/>
      <c r="Q45" s="308"/>
      <c r="R45" s="244"/>
      <c r="S45" s="244"/>
      <c r="T45" s="244"/>
      <c r="U45" s="244"/>
    </row>
    <row r="46" spans="2:21">
      <c r="B46" s="244"/>
      <c r="C46" s="249" t="s">
        <v>25</v>
      </c>
      <c r="D46" s="308"/>
      <c r="E46" s="308"/>
      <c r="F46" s="309">
        <f>F42-F43-F44-F45</f>
        <v>57636815.578663439</v>
      </c>
      <c r="G46" s="314"/>
      <c r="H46" s="308"/>
      <c r="I46" s="314"/>
      <c r="J46" s="314"/>
      <c r="K46" s="314"/>
      <c r="L46" s="314"/>
      <c r="M46" s="314"/>
      <c r="N46" s="314"/>
      <c r="O46" s="308"/>
      <c r="P46" s="314"/>
      <c r="Q46" s="308"/>
      <c r="R46" s="244"/>
      <c r="S46" s="244"/>
      <c r="T46" s="244"/>
      <c r="U46" s="244"/>
    </row>
    <row r="47" spans="2:21">
      <c r="B47" s="244"/>
      <c r="C47" s="312"/>
      <c r="D47" s="308"/>
      <c r="E47" s="308"/>
      <c r="F47" s="302"/>
      <c r="G47" s="315"/>
      <c r="H47" s="316"/>
      <c r="I47" s="316"/>
      <c r="J47" s="316"/>
      <c r="K47" s="316"/>
      <c r="L47" s="316"/>
      <c r="M47" s="316"/>
      <c r="N47" s="316"/>
      <c r="O47" s="317"/>
      <c r="P47" s="316"/>
      <c r="Q47" s="318"/>
      <c r="R47" s="244"/>
      <c r="S47" s="244"/>
      <c r="T47" s="244"/>
      <c r="U47" s="244"/>
    </row>
    <row r="48" spans="2:21" ht="15.75">
      <c r="B48" s="244"/>
      <c r="C48" s="236" t="str">
        <f>"B.   Determine Net Revenue Requirement with hypothetical "&amp;F13&amp;" basis point increase in ROE."</f>
        <v>B.   Determine Net Revenue Requirement with hypothetical 0 basis point increase in ROE.</v>
      </c>
      <c r="D48" s="317"/>
      <c r="E48" s="317"/>
      <c r="F48" s="302"/>
      <c r="G48" s="315"/>
      <c r="H48" s="316"/>
      <c r="I48" s="316"/>
      <c r="J48" s="316"/>
      <c r="K48" s="316"/>
      <c r="L48" s="316"/>
      <c r="M48" s="316"/>
      <c r="N48" s="316"/>
      <c r="O48" s="317"/>
      <c r="P48" s="316"/>
      <c r="Q48" s="308"/>
      <c r="T48" s="244"/>
      <c r="U48" s="244"/>
    </row>
    <row r="49" spans="2:21" ht="15.75">
      <c r="B49" s="244"/>
      <c r="C49" s="236"/>
      <c r="D49" s="317"/>
      <c r="E49" s="317"/>
      <c r="F49" s="302"/>
      <c r="G49" s="315"/>
      <c r="H49" s="316"/>
      <c r="I49" s="316"/>
      <c r="J49" s="316"/>
      <c r="K49" s="316"/>
      <c r="L49" s="316"/>
      <c r="M49" s="316"/>
      <c r="N49" s="316"/>
      <c r="O49" s="317"/>
      <c r="P49" s="316"/>
      <c r="Q49" s="308"/>
      <c r="T49" s="244"/>
      <c r="U49" s="244"/>
    </row>
    <row r="50" spans="2:21">
      <c r="B50" s="244"/>
      <c r="C50" s="312" t="str">
        <f>C46</f>
        <v xml:space="preserve">   Net Revenue Requirement, Less Return and Taxes</v>
      </c>
      <c r="D50" s="317"/>
      <c r="E50" s="317"/>
      <c r="F50" s="302">
        <f>F46</f>
        <v>57636815.578663439</v>
      </c>
      <c r="G50" s="308"/>
      <c r="H50" s="308"/>
      <c r="I50" s="308"/>
      <c r="J50" s="308"/>
      <c r="K50" s="308"/>
      <c r="L50" s="308"/>
      <c r="M50" s="308"/>
      <c r="N50" s="308"/>
      <c r="O50" s="319"/>
      <c r="P50" s="320"/>
      <c r="Q50" s="321"/>
      <c r="T50" s="244"/>
      <c r="U50" s="244"/>
    </row>
    <row r="51" spans="2:21">
      <c r="B51" s="244"/>
      <c r="C51" s="243" t="s">
        <v>92</v>
      </c>
      <c r="D51" s="322"/>
      <c r="E51" s="249"/>
      <c r="F51" s="323">
        <f>E26</f>
        <v>60145384.298879899</v>
      </c>
      <c r="G51" s="249"/>
      <c r="H51" s="324"/>
      <c r="I51" s="249"/>
      <c r="J51" s="249"/>
      <c r="K51" s="249"/>
      <c r="L51" s="249"/>
      <c r="M51" s="249"/>
      <c r="N51" s="249"/>
      <c r="O51" s="249"/>
      <c r="P51" s="249"/>
      <c r="Q51" s="249"/>
      <c r="T51" s="244"/>
      <c r="U51" s="244"/>
    </row>
    <row r="52" spans="2:21" ht="12.75" customHeight="1">
      <c r="B52" s="244"/>
      <c r="C52" s="237" t="s">
        <v>26</v>
      </c>
      <c r="D52" s="308"/>
      <c r="E52" s="308"/>
      <c r="F52" s="325">
        <f>E35</f>
        <v>15399499.395459555</v>
      </c>
      <c r="G52" s="244"/>
      <c r="H52" s="326"/>
      <c r="I52" s="244"/>
      <c r="J52" s="279"/>
      <c r="K52" s="244"/>
      <c r="L52" s="244"/>
      <c r="M52" s="244"/>
      <c r="N52" s="244"/>
      <c r="O52" s="244"/>
      <c r="P52" s="244"/>
      <c r="Q52" s="244"/>
      <c r="T52" s="244"/>
      <c r="U52" s="244"/>
    </row>
    <row r="53" spans="2:21">
      <c r="B53" s="244"/>
      <c r="C53" s="249" t="str">
        <f>"   Net Revenue Requirement, with "&amp;F13&amp;" Basis Point ROE increase"</f>
        <v xml:space="preserve">   Net Revenue Requirement, with 0 Basis Point ROE increase</v>
      </c>
      <c r="D53" s="293"/>
      <c r="E53" s="244"/>
      <c r="F53" s="327">
        <f>SUM(F50:F52)</f>
        <v>133181699.27300289</v>
      </c>
      <c r="G53" s="244"/>
      <c r="H53" s="326"/>
      <c r="I53" s="244"/>
      <c r="J53" s="279"/>
      <c r="K53" s="244"/>
      <c r="L53" s="244"/>
      <c r="M53" s="244"/>
      <c r="N53" s="244"/>
      <c r="O53" s="244"/>
      <c r="P53" s="244"/>
      <c r="Q53" s="244"/>
      <c r="R53" s="244"/>
      <c r="S53" s="244"/>
      <c r="T53" s="244"/>
      <c r="U53" s="244"/>
    </row>
    <row r="54" spans="2:21">
      <c r="B54" s="244"/>
      <c r="C54" s="300" t="str">
        <f>"   Gross Margin Tax with "&amp;F13&amp;" Basis Point ROE Increase (II C. below)"</f>
        <v xml:space="preserve">   Gross Margin Tax with 0 Basis Point ROE Increase (II C. below)</v>
      </c>
      <c r="D54" s="328"/>
      <c r="E54" s="328"/>
      <c r="F54" s="329">
        <f>+F69</f>
        <v>0</v>
      </c>
      <c r="G54" s="244"/>
      <c r="H54" s="326"/>
      <c r="I54" s="244"/>
      <c r="J54" s="279"/>
      <c r="K54" s="244"/>
      <c r="L54" s="244"/>
      <c r="M54" s="244"/>
      <c r="N54" s="244"/>
      <c r="O54" s="244"/>
      <c r="P54" s="244"/>
      <c r="Q54" s="244"/>
      <c r="R54" s="244"/>
      <c r="S54" s="244"/>
      <c r="T54" s="244"/>
      <c r="U54" s="244"/>
    </row>
    <row r="55" spans="2:21">
      <c r="B55" s="244"/>
      <c r="C55" s="249" t="s">
        <v>27</v>
      </c>
      <c r="D55" s="293"/>
      <c r="E55" s="244"/>
      <c r="F55" s="299">
        <f>+F53+F54</f>
        <v>133181699.27300289</v>
      </c>
      <c r="G55" s="244"/>
      <c r="H55" s="326"/>
      <c r="I55" s="244"/>
      <c r="J55" s="279"/>
      <c r="K55" s="244"/>
      <c r="L55" s="244"/>
      <c r="M55" s="244"/>
      <c r="N55" s="244"/>
      <c r="O55" s="244"/>
      <c r="P55" s="244"/>
      <c r="Q55" s="244"/>
      <c r="R55" s="244"/>
      <c r="S55" s="244"/>
      <c r="T55" s="244"/>
      <c r="U55" s="244"/>
    </row>
    <row r="56" spans="2:21">
      <c r="B56" s="244"/>
      <c r="C56" s="237" t="str">
        <f>+S117</f>
        <v xml:space="preserve">   Less: Depreciation  (TCOS, ln 86)</v>
      </c>
      <c r="D56" s="293"/>
      <c r="E56" s="244"/>
      <c r="F56" s="330">
        <f>+R117</f>
        <v>30906225.643601935</v>
      </c>
      <c r="G56" s="244"/>
      <c r="H56" s="326"/>
      <c r="I56" s="244"/>
      <c r="J56" s="279"/>
      <c r="K56" s="244"/>
      <c r="L56" s="244"/>
      <c r="M56" s="244"/>
      <c r="N56" s="244"/>
      <c r="O56" s="244"/>
      <c r="P56" s="244"/>
      <c r="Q56" s="244"/>
      <c r="R56" s="244"/>
      <c r="S56" s="244"/>
      <c r="T56" s="244"/>
      <c r="U56" s="244"/>
    </row>
    <row r="57" spans="2:21">
      <c r="B57" s="244"/>
      <c r="C57" s="249" t="str">
        <f>"   Net Rev. Req, w/"&amp;F13&amp;" Basis Point ROE increase, less Depreciation"</f>
        <v xml:space="preserve">   Net Rev. Req, w/0 Basis Point ROE increase, less Depreciation</v>
      </c>
      <c r="D57" s="293"/>
      <c r="E57" s="244"/>
      <c r="F57" s="327">
        <f>F55-F56</f>
        <v>102275473.62940095</v>
      </c>
      <c r="G57" s="244"/>
      <c r="H57" s="326"/>
      <c r="I57" s="244"/>
      <c r="J57" s="279"/>
      <c r="K57" s="244"/>
      <c r="L57" s="244"/>
      <c r="M57" s="244"/>
      <c r="N57" s="244"/>
      <c r="O57" s="244"/>
      <c r="P57" s="244"/>
      <c r="Q57" s="244"/>
      <c r="R57" s="244"/>
      <c r="S57" s="244"/>
      <c r="T57" s="244"/>
      <c r="U57" s="244"/>
    </row>
    <row r="58" spans="2:21">
      <c r="B58" s="244"/>
      <c r="C58" s="244"/>
      <c r="D58" s="293"/>
      <c r="E58" s="244"/>
      <c r="F58" s="244"/>
      <c r="G58" s="244"/>
      <c r="H58" s="326"/>
      <c r="I58" s="244"/>
      <c r="J58" s="279"/>
      <c r="K58" s="244"/>
      <c r="L58" s="244"/>
      <c r="M58" s="244"/>
      <c r="N58" s="244"/>
      <c r="O58" s="244"/>
      <c r="P58" s="244"/>
      <c r="Q58" s="244"/>
      <c r="R58" s="244"/>
      <c r="S58" s="244"/>
      <c r="T58" s="244"/>
      <c r="U58" s="244"/>
    </row>
    <row r="59" spans="2:21" ht="15.75">
      <c r="B59" s="245"/>
      <c r="C59" s="307" t="str">
        <f>"C.   Determine Gross Margin Tax with hypothetical "&amp;F13&amp;" basis point increase in ROE."</f>
        <v>C.   Determine Gross Margin Tax with hypothetical 0 basis point increase in ROE.</v>
      </c>
      <c r="D59" s="331"/>
      <c r="E59" s="331"/>
      <c r="F59" s="332"/>
      <c r="G59" s="245"/>
      <c r="H59" s="333"/>
      <c r="I59" s="245"/>
      <c r="J59" s="279"/>
      <c r="K59" s="244"/>
      <c r="L59" s="244"/>
      <c r="M59" s="244"/>
      <c r="N59" s="244"/>
      <c r="O59" s="244"/>
      <c r="P59" s="244"/>
      <c r="Q59" s="244"/>
      <c r="R59" s="244"/>
      <c r="S59" s="244"/>
      <c r="T59" s="244"/>
      <c r="U59" s="244"/>
    </row>
    <row r="60" spans="2:21">
      <c r="B60" s="245"/>
      <c r="C60" s="300" t="str">
        <f>"   Net Revenue Requirement before Gross Margin Taxes, with "&amp;F13&amp;" "</f>
        <v xml:space="preserve">   Net Revenue Requirement before Gross Margin Taxes, with 0 </v>
      </c>
      <c r="D60" s="331"/>
      <c r="E60" s="331"/>
      <c r="F60" s="332">
        <f>+F53</f>
        <v>133181699.27300289</v>
      </c>
      <c r="G60" s="245"/>
      <c r="H60" s="333"/>
      <c r="I60" s="245"/>
      <c r="J60" s="279"/>
      <c r="K60" s="244"/>
      <c r="L60" s="244"/>
      <c r="M60" s="244"/>
      <c r="N60" s="244"/>
      <c r="O60" s="244"/>
      <c r="P60" s="244"/>
      <c r="Q60" s="244"/>
      <c r="R60" s="244"/>
      <c r="S60" s="244"/>
      <c r="T60" s="244"/>
      <c r="U60" s="244"/>
    </row>
    <row r="61" spans="2:21">
      <c r="B61" s="245"/>
      <c r="C61" s="300" t="s">
        <v>28</v>
      </c>
      <c r="D61" s="331"/>
      <c r="E61" s="331"/>
      <c r="F61" s="332"/>
      <c r="G61" s="245"/>
      <c r="H61" s="333"/>
      <c r="I61" s="245"/>
      <c r="J61" s="279"/>
      <c r="K61" s="244"/>
      <c r="L61" s="244"/>
      <c r="M61" s="244"/>
      <c r="N61" s="244"/>
      <c r="O61" s="244"/>
      <c r="P61" s="244"/>
      <c r="Q61" s="244"/>
      <c r="R61" s="244"/>
      <c r="S61" s="244"/>
      <c r="T61" s="244"/>
      <c r="U61" s="244"/>
    </row>
    <row r="62" spans="2:21">
      <c r="B62" s="245"/>
      <c r="C62" s="249" t="str">
        <f>+S118</f>
        <v xml:space="preserve">       Apportionment Factor to Texas (Worksheet K, ln 12)</v>
      </c>
      <c r="D62" s="334"/>
      <c r="E62" s="245"/>
      <c r="F62" s="335">
        <f>+R118</f>
        <v>0</v>
      </c>
      <c r="G62" s="245"/>
      <c r="H62" s="333"/>
      <c r="I62" s="245"/>
      <c r="J62" s="279"/>
      <c r="K62" s="244"/>
      <c r="L62" s="244"/>
      <c r="M62" s="244"/>
      <c r="N62" s="244"/>
      <c r="O62" s="244"/>
      <c r="P62" s="244"/>
      <c r="Q62" s="244"/>
      <c r="R62" s="244"/>
      <c r="S62" s="244"/>
      <c r="T62" s="244"/>
      <c r="U62" s="244"/>
    </row>
    <row r="63" spans="2:21">
      <c r="B63" s="245"/>
      <c r="C63" s="249" t="s">
        <v>29</v>
      </c>
      <c r="D63" s="334"/>
      <c r="E63" s="245"/>
      <c r="F63" s="332">
        <f>+F60*F62</f>
        <v>0</v>
      </c>
      <c r="G63" s="245"/>
      <c r="H63" s="333"/>
      <c r="I63" s="245"/>
      <c r="J63" s="279"/>
      <c r="K63" s="244"/>
      <c r="L63" s="244"/>
      <c r="M63" s="244"/>
      <c r="N63" s="244"/>
      <c r="O63" s="244"/>
      <c r="P63" s="244"/>
      <c r="Q63" s="244"/>
      <c r="R63" s="244"/>
      <c r="S63" s="244"/>
      <c r="T63" s="244"/>
      <c r="U63" s="244"/>
    </row>
    <row r="64" spans="2:21">
      <c r="B64" s="245"/>
      <c r="C64" s="249" t="s">
        <v>257</v>
      </c>
      <c r="D64" s="334"/>
      <c r="E64" s="245"/>
      <c r="F64" s="336">
        <v>0.22</v>
      </c>
      <c r="G64" s="245"/>
      <c r="H64" s="333"/>
      <c r="I64" s="245"/>
      <c r="J64" s="279"/>
      <c r="K64" s="244"/>
      <c r="L64" s="244"/>
      <c r="M64" s="244"/>
      <c r="N64" s="244"/>
      <c r="O64" s="244"/>
      <c r="P64" s="244"/>
      <c r="Q64" s="244"/>
      <c r="R64" s="244"/>
      <c r="S64" s="244"/>
      <c r="T64" s="244"/>
      <c r="U64" s="244"/>
    </row>
    <row r="65" spans="2:21">
      <c r="B65" s="245"/>
      <c r="C65" s="249" t="s">
        <v>30</v>
      </c>
      <c r="D65" s="334"/>
      <c r="E65" s="245"/>
      <c r="F65" s="332">
        <f>+F63*F64</f>
        <v>0</v>
      </c>
      <c r="G65" s="245"/>
      <c r="H65" s="333"/>
      <c r="I65" s="245"/>
      <c r="J65" s="279"/>
      <c r="K65" s="244"/>
      <c r="L65" s="244"/>
      <c r="M65" s="244"/>
      <c r="N65" s="244"/>
      <c r="O65" s="244"/>
      <c r="P65" s="244"/>
      <c r="Q65" s="244"/>
      <c r="R65" s="244"/>
      <c r="S65" s="244"/>
      <c r="T65" s="244"/>
      <c r="U65" s="244"/>
    </row>
    <row r="66" spans="2:21">
      <c r="B66" s="245"/>
      <c r="C66" s="249" t="s">
        <v>31</v>
      </c>
      <c r="D66" s="334"/>
      <c r="E66" s="245"/>
      <c r="F66" s="336">
        <v>0.01</v>
      </c>
      <c r="G66" s="245"/>
      <c r="H66" s="333"/>
      <c r="I66" s="245"/>
      <c r="J66" s="279"/>
      <c r="K66" s="244"/>
      <c r="L66" s="244"/>
      <c r="M66" s="244"/>
      <c r="N66" s="244"/>
      <c r="O66" s="244"/>
      <c r="P66" s="244"/>
      <c r="Q66" s="244"/>
      <c r="R66" s="244"/>
      <c r="S66" s="244"/>
      <c r="T66" s="244"/>
      <c r="U66" s="244"/>
    </row>
    <row r="67" spans="2:21">
      <c r="B67" s="245"/>
      <c r="C67" s="249" t="s">
        <v>32</v>
      </c>
      <c r="D67" s="334"/>
      <c r="E67" s="245"/>
      <c r="F67" s="332">
        <f>+F65*F66</f>
        <v>0</v>
      </c>
      <c r="G67" s="245"/>
      <c r="H67" s="333"/>
      <c r="I67" s="245"/>
      <c r="J67" s="279"/>
      <c r="K67" s="244"/>
      <c r="L67" s="244"/>
      <c r="M67" s="244"/>
      <c r="N67" s="244"/>
      <c r="O67" s="244"/>
      <c r="P67" s="244"/>
      <c r="Q67" s="244"/>
      <c r="R67" s="244"/>
      <c r="S67" s="244"/>
      <c r="T67" s="244"/>
      <c r="U67" s="244"/>
    </row>
    <row r="68" spans="2:21">
      <c r="B68" s="245"/>
      <c r="C68" s="249" t="s">
        <v>33</v>
      </c>
      <c r="D68" s="334"/>
      <c r="E68" s="245"/>
      <c r="F68" s="337">
        <f>+ROUND((F67*F64*F62)/(1-F66)*F66,0)</f>
        <v>0</v>
      </c>
      <c r="G68" s="245"/>
      <c r="H68" s="333"/>
      <c r="I68" s="245"/>
      <c r="J68" s="279"/>
      <c r="K68" s="244"/>
      <c r="L68" s="244"/>
      <c r="M68" s="244"/>
      <c r="N68" s="244"/>
      <c r="O68" s="244"/>
      <c r="P68" s="244"/>
      <c r="Q68" s="244"/>
      <c r="R68" s="244"/>
      <c r="S68" s="244"/>
      <c r="T68" s="244"/>
      <c r="U68" s="244"/>
    </row>
    <row r="69" spans="2:21">
      <c r="B69" s="245"/>
      <c r="C69" s="249" t="s">
        <v>34</v>
      </c>
      <c r="D69" s="334"/>
      <c r="E69" s="245"/>
      <c r="F69" s="332">
        <f>+F67+F68</f>
        <v>0</v>
      </c>
      <c r="G69" s="245"/>
      <c r="H69" s="333"/>
      <c r="I69" s="245"/>
      <c r="J69" s="279"/>
      <c r="K69" s="244"/>
      <c r="L69" s="244"/>
      <c r="M69" s="244"/>
      <c r="N69" s="244"/>
      <c r="O69" s="244"/>
      <c r="P69" s="244"/>
      <c r="Q69" s="244"/>
      <c r="R69" s="244"/>
      <c r="S69" s="244"/>
      <c r="T69" s="244"/>
      <c r="U69" s="244"/>
    </row>
    <row r="70" spans="2:21">
      <c r="B70" s="244"/>
      <c r="C70" s="244"/>
      <c r="D70" s="293"/>
      <c r="E70" s="244"/>
      <c r="F70" s="244"/>
      <c r="G70" s="244"/>
      <c r="H70" s="326"/>
      <c r="I70" s="244"/>
      <c r="J70" s="279"/>
      <c r="K70" s="244"/>
      <c r="L70" s="244"/>
      <c r="M70" s="244"/>
      <c r="N70" s="244"/>
      <c r="O70" s="244"/>
      <c r="P70" s="244"/>
      <c r="Q70" s="244"/>
      <c r="R70" s="244"/>
      <c r="S70" s="244"/>
      <c r="T70" s="244"/>
      <c r="U70" s="244"/>
    </row>
    <row r="71" spans="2:21" ht="15.75">
      <c r="B71" s="244"/>
      <c r="C71" s="236" t="str">
        <f>"D.   Determine FCR with hypothetical "&amp;F13&amp;" basis point ROE increase."</f>
        <v>D.   Determine FCR with hypothetical 0 basis point ROE increase.</v>
      </c>
      <c r="D71" s="293"/>
      <c r="E71" s="244"/>
      <c r="F71" s="244"/>
      <c r="G71" s="244"/>
      <c r="H71" s="326"/>
      <c r="I71" s="244"/>
      <c r="J71" s="279"/>
      <c r="K71" s="244"/>
      <c r="L71" s="244"/>
      <c r="M71" s="244"/>
      <c r="N71" s="244"/>
      <c r="O71" s="244"/>
      <c r="P71" s="244"/>
      <c r="Q71" s="244"/>
      <c r="R71" s="244"/>
      <c r="S71" s="244"/>
      <c r="T71" s="244"/>
      <c r="U71" s="244"/>
    </row>
    <row r="72" spans="2:21">
      <c r="B72" s="244"/>
      <c r="C72" s="237" t="str">
        <f>+S119</f>
        <v xml:space="preserve">   Net Transmission Plant  (TCOS, ln 37)</v>
      </c>
      <c r="D72" s="293"/>
      <c r="E72" s="244"/>
      <c r="F72" s="327">
        <f>+R119</f>
        <v>956576295.6876924</v>
      </c>
      <c r="G72" s="338"/>
      <c r="H72" s="213"/>
      <c r="J72" s="221"/>
      <c r="P72" s="244"/>
      <c r="Q72" s="244"/>
      <c r="R72" s="244"/>
      <c r="S72" s="244"/>
      <c r="T72" s="244"/>
      <c r="U72" s="326"/>
    </row>
    <row r="73" spans="2:21">
      <c r="B73" s="244"/>
      <c r="C73" s="249" t="str">
        <f>"   Net Revenue Requirement, with "&amp;F13&amp;" Basis Point ROE increase"</f>
        <v xml:space="preserve">   Net Revenue Requirement, with 0 Basis Point ROE increase</v>
      </c>
      <c r="D73" s="293"/>
      <c r="E73" s="244"/>
      <c r="F73" s="339">
        <f>F53</f>
        <v>133181699.27300289</v>
      </c>
      <c r="H73" s="213"/>
      <c r="J73" s="221"/>
      <c r="P73" s="244"/>
      <c r="Q73" s="244"/>
      <c r="R73" s="244"/>
      <c r="S73" s="244"/>
      <c r="T73" s="244"/>
      <c r="U73" s="326"/>
    </row>
    <row r="74" spans="2:21">
      <c r="B74" s="244"/>
      <c r="C74" s="249" t="str">
        <f>"   FCR with "&amp;F13&amp;" Basis Point increase in ROE"</f>
        <v xml:space="preserve">   FCR with 0 Basis Point increase in ROE</v>
      </c>
      <c r="D74" s="293"/>
      <c r="E74" s="244"/>
      <c r="F74" s="340">
        <f>IF(F72=0,0,F73/F72)</f>
        <v>0.13922747184243911</v>
      </c>
      <c r="H74" s="213"/>
      <c r="J74" s="221"/>
      <c r="P74" s="244"/>
      <c r="Q74" s="244"/>
      <c r="R74" s="244"/>
      <c r="S74" s="244"/>
      <c r="T74" s="244"/>
      <c r="U74" s="326"/>
    </row>
    <row r="75" spans="2:21">
      <c r="B75" s="244"/>
      <c r="D75" s="293"/>
      <c r="E75" s="244"/>
      <c r="F75" s="245"/>
      <c r="H75" s="213"/>
      <c r="J75" s="221"/>
      <c r="P75" s="244"/>
      <c r="Q75" s="244"/>
      <c r="R75" s="244"/>
      <c r="S75" s="244"/>
      <c r="T75" s="244"/>
      <c r="U75" s="326"/>
    </row>
    <row r="76" spans="2:21">
      <c r="B76" s="244"/>
      <c r="C76" s="249" t="str">
        <f>"   Net Rev. Req, w / "&amp;F13&amp;" Basis Point ROE increase, less Dep."</f>
        <v xml:space="preserve">   Net Rev. Req, w / 0 Basis Point ROE increase, less Dep.</v>
      </c>
      <c r="D76" s="293"/>
      <c r="E76" s="244"/>
      <c r="F76" s="327">
        <f>F57</f>
        <v>102275473.62940095</v>
      </c>
      <c r="G76" s="338"/>
      <c r="H76" s="213"/>
      <c r="J76" s="221"/>
      <c r="P76" s="244"/>
      <c r="Q76" s="244"/>
      <c r="R76" s="244"/>
      <c r="S76" s="244"/>
      <c r="T76" s="244"/>
      <c r="U76" s="326"/>
    </row>
    <row r="77" spans="2:21">
      <c r="B77" s="244"/>
      <c r="C77" s="249" t="str">
        <f>"   FCR with "&amp;F13&amp;" Basis Point ROE increase, less Depreciation"</f>
        <v xml:space="preserve">   FCR with 0 Basis Point ROE increase, less Depreciation</v>
      </c>
      <c r="D77" s="293"/>
      <c r="E77" s="244"/>
      <c r="F77" s="340">
        <f>IF(F72=0,0,F76/F72)</f>
        <v>0.10691826056161477</v>
      </c>
      <c r="G77" s="340"/>
      <c r="H77" s="213"/>
      <c r="J77" s="221"/>
      <c r="P77" s="244"/>
      <c r="Q77" s="244"/>
      <c r="R77" s="244"/>
      <c r="S77" s="244"/>
      <c r="T77" s="244"/>
      <c r="U77" s="326"/>
    </row>
    <row r="78" spans="2:21">
      <c r="B78" s="244"/>
      <c r="C78" s="237" t="str">
        <f>+S120</f>
        <v xml:space="preserve">   FCR less Depreciation  (TCOS, ln 10)</v>
      </c>
      <c r="D78" s="293"/>
      <c r="E78" s="244"/>
      <c r="F78" s="341">
        <f>+R120</f>
        <v>0.1064171487591708</v>
      </c>
      <c r="H78" s="213"/>
      <c r="J78" s="221"/>
      <c r="P78" s="244"/>
      <c r="Q78" s="244"/>
      <c r="R78" s="244"/>
      <c r="S78" s="244"/>
      <c r="T78" s="244"/>
      <c r="U78" s="326"/>
    </row>
    <row r="79" spans="2:21">
      <c r="B79" s="244"/>
      <c r="C79" s="661" t="str">
        <f>"   Incremental FCR with "&amp;F13&amp;" Basis Point ROE increase, less Depreciation"</f>
        <v xml:space="preserve">   Incremental FCR with 0 Basis Point ROE increase, less Depreciation</v>
      </c>
      <c r="D79" s="660"/>
      <c r="E79" s="660"/>
      <c r="F79" s="340">
        <f>F77-F78</f>
        <v>5.0111180244397091E-4</v>
      </c>
      <c r="H79" s="213"/>
      <c r="J79" s="221"/>
      <c r="P79" s="244"/>
      <c r="Q79" s="244"/>
      <c r="R79" s="244"/>
      <c r="S79" s="244"/>
      <c r="T79" s="244"/>
      <c r="U79" s="326"/>
    </row>
    <row r="80" spans="2:21">
      <c r="B80" s="244"/>
      <c r="C80" s="660"/>
      <c r="D80" s="660"/>
      <c r="E80" s="660"/>
      <c r="F80" s="340"/>
      <c r="G80" s="244"/>
      <c r="H80" s="326"/>
      <c r="I80" s="244"/>
      <c r="J80" s="279"/>
      <c r="K80" s="244"/>
      <c r="L80" s="244"/>
      <c r="M80" s="244"/>
      <c r="N80" s="244"/>
      <c r="O80" s="244"/>
      <c r="P80" s="244"/>
      <c r="Q80" s="244"/>
      <c r="R80" s="244"/>
      <c r="S80" s="244"/>
      <c r="T80" s="244"/>
      <c r="U80" s="244"/>
    </row>
    <row r="81" spans="2:21" ht="18.75">
      <c r="B81" s="234" t="s">
        <v>35</v>
      </c>
      <c r="C81" s="306" t="s">
        <v>36</v>
      </c>
      <c r="D81" s="293"/>
      <c r="E81" s="244"/>
      <c r="F81" s="340"/>
      <c r="G81" s="244"/>
      <c r="H81" s="326"/>
      <c r="I81" s="244"/>
      <c r="J81" s="279"/>
      <c r="K81" s="244"/>
      <c r="L81" s="244"/>
      <c r="M81" s="244"/>
      <c r="N81" s="244"/>
      <c r="O81" s="244"/>
      <c r="P81" s="244"/>
      <c r="Q81" s="244"/>
      <c r="R81" s="244"/>
      <c r="S81" s="244"/>
      <c r="T81" s="244"/>
      <c r="U81" s="244"/>
    </row>
    <row r="82" spans="2:21" ht="12.75" customHeight="1">
      <c r="B82" s="234"/>
      <c r="C82" s="249" t="s">
        <v>37</v>
      </c>
      <c r="D82" s="293"/>
      <c r="F82" s="333">
        <f>R121</f>
        <v>1056374505</v>
      </c>
      <c r="G82" s="244" t="s">
        <v>241</v>
      </c>
      <c r="H82" s="326"/>
      <c r="I82" s="652" t="s">
        <v>259</v>
      </c>
      <c r="J82" s="652"/>
      <c r="K82" s="652"/>
      <c r="L82" s="652"/>
      <c r="M82" s="652"/>
      <c r="N82" s="652"/>
      <c r="O82" s="244"/>
      <c r="P82" s="244"/>
      <c r="Q82" s="244"/>
      <c r="R82" s="244"/>
      <c r="S82" s="244"/>
      <c r="T82" s="244"/>
      <c r="U82" s="244"/>
    </row>
    <row r="83" spans="2:21" ht="12.75" customHeight="1">
      <c r="B83" s="234"/>
      <c r="C83" s="249" t="s">
        <v>38</v>
      </c>
      <c r="D83" s="293"/>
      <c r="F83" s="342">
        <f>R122</f>
        <v>1184346694</v>
      </c>
      <c r="G83" s="244" t="s">
        <v>241</v>
      </c>
      <c r="H83" s="326"/>
      <c r="I83" s="652"/>
      <c r="J83" s="652"/>
      <c r="K83" s="652"/>
      <c r="L83" s="652"/>
      <c r="M83" s="652"/>
      <c r="N83" s="652"/>
      <c r="O83" s="244"/>
      <c r="P83" s="244"/>
      <c r="Q83" s="244"/>
      <c r="R83" s="244"/>
      <c r="S83" s="244"/>
      <c r="T83" s="244"/>
      <c r="U83" s="244"/>
    </row>
    <row r="84" spans="2:21">
      <c r="B84" s="244"/>
      <c r="C84" s="249"/>
      <c r="D84" s="293"/>
      <c r="F84" s="326">
        <f>SUM(F82:F83)</f>
        <v>2240721199</v>
      </c>
      <c r="G84" s="327"/>
      <c r="H84" s="326"/>
      <c r="I84" s="652"/>
      <c r="J84" s="652"/>
      <c r="K84" s="652"/>
      <c r="L84" s="652"/>
      <c r="M84" s="652"/>
      <c r="N84" s="652"/>
      <c r="O84" s="244"/>
      <c r="P84" s="244"/>
      <c r="Q84" s="244"/>
      <c r="R84" s="244"/>
      <c r="S84" s="244"/>
      <c r="T84" s="244"/>
      <c r="U84" s="244"/>
    </row>
    <row r="85" spans="2:21">
      <c r="B85" s="244"/>
      <c r="C85" s="249" t="str">
        <f>S123</f>
        <v>Transmission Plant Average Balance for 2018</v>
      </c>
      <c r="D85" s="334"/>
      <c r="E85" s="152"/>
      <c r="F85" s="343">
        <f>+F84/2</f>
        <v>1120360599.5</v>
      </c>
      <c r="G85" s="344"/>
      <c r="H85" s="326"/>
      <c r="I85" s="652"/>
      <c r="J85" s="652"/>
      <c r="K85" s="652"/>
      <c r="L85" s="652"/>
      <c r="M85" s="652"/>
      <c r="N85" s="652"/>
      <c r="O85" s="244"/>
      <c r="P85" s="244"/>
      <c r="Q85" s="244"/>
      <c r="R85" s="244"/>
      <c r="S85" s="244"/>
      <c r="T85" s="244"/>
      <c r="U85" s="244"/>
    </row>
    <row r="86" spans="2:21">
      <c r="B86" s="244"/>
      <c r="C86" s="237" t="str">
        <f>S124</f>
        <v>Annual Depreciation Expense  (Historic TCOS, ln 259)</v>
      </c>
      <c r="D86" s="334"/>
      <c r="E86" s="245"/>
      <c r="F86" s="343">
        <f>R124</f>
        <v>32737164</v>
      </c>
      <c r="G86" s="244"/>
      <c r="H86" s="326"/>
      <c r="I86" s="652"/>
      <c r="J86" s="652"/>
      <c r="K86" s="652"/>
      <c r="L86" s="652"/>
      <c r="M86" s="652"/>
      <c r="N86" s="652"/>
      <c r="O86" s="244"/>
      <c r="P86" s="244"/>
      <c r="Q86" s="244"/>
      <c r="R86" s="244"/>
      <c r="S86" s="244"/>
      <c r="T86" s="244"/>
      <c r="U86" s="244"/>
    </row>
    <row r="87" spans="2:21">
      <c r="B87" s="244"/>
      <c r="C87" s="249" t="s">
        <v>39</v>
      </c>
      <c r="D87" s="293"/>
      <c r="E87" s="244"/>
      <c r="F87" s="345">
        <f>F86/F85</f>
        <v>2.9220202865586402E-2</v>
      </c>
      <c r="G87" s="244"/>
      <c r="H87" s="346"/>
      <c r="I87" s="652"/>
      <c r="J87" s="652"/>
      <c r="K87" s="652"/>
      <c r="L87" s="652"/>
      <c r="M87" s="652"/>
      <c r="N87" s="652"/>
      <c r="O87" s="244"/>
      <c r="P87" s="244"/>
      <c r="Q87" s="244"/>
      <c r="R87" s="244"/>
      <c r="S87" s="244"/>
      <c r="T87" s="244"/>
      <c r="U87" s="244"/>
    </row>
    <row r="88" spans="2:21">
      <c r="B88" s="244"/>
      <c r="C88" s="249" t="s">
        <v>40</v>
      </c>
      <c r="D88" s="293"/>
      <c r="E88" s="244"/>
      <c r="F88" s="347">
        <f>IF(F87=0,0,1/F87)</f>
        <v>34.222897239968617</v>
      </c>
      <c r="H88" s="326"/>
      <c r="I88" s="244"/>
      <c r="J88" s="279"/>
      <c r="K88" s="244"/>
      <c r="L88" s="244"/>
      <c r="M88" s="244"/>
      <c r="N88" s="244"/>
      <c r="O88" s="244"/>
      <c r="P88" s="244"/>
      <c r="Q88" s="244"/>
      <c r="R88" s="244"/>
      <c r="S88" s="244"/>
      <c r="T88" s="244"/>
      <c r="U88" s="244"/>
    </row>
    <row r="89" spans="2:21">
      <c r="B89" s="244"/>
      <c r="C89" s="249" t="s">
        <v>41</v>
      </c>
      <c r="D89" s="293"/>
      <c r="E89" s="244"/>
      <c r="F89" s="348">
        <f>ROUND(F88,0)</f>
        <v>34</v>
      </c>
      <c r="G89" s="244"/>
      <c r="H89" s="326"/>
      <c r="I89" s="244"/>
      <c r="J89" s="279"/>
      <c r="K89" s="244"/>
      <c r="L89" s="244"/>
      <c r="M89" s="244"/>
      <c r="N89" s="244"/>
      <c r="O89" s="244"/>
      <c r="P89" s="244"/>
      <c r="Q89" s="244"/>
      <c r="R89" s="244"/>
      <c r="S89" s="244"/>
      <c r="T89" s="244"/>
      <c r="U89" s="244"/>
    </row>
    <row r="90" spans="2:21">
      <c r="C90" s="349"/>
      <c r="D90" s="350"/>
      <c r="E90" s="350"/>
      <c r="F90" s="350"/>
      <c r="G90" s="295"/>
      <c r="H90" s="295"/>
      <c r="I90" s="351"/>
      <c r="J90" s="351"/>
      <c r="K90" s="351"/>
      <c r="L90" s="351"/>
      <c r="M90" s="351"/>
      <c r="N90" s="351"/>
      <c r="O90" s="279"/>
      <c r="P90" s="279"/>
      <c r="Q90" s="244"/>
      <c r="R90" s="244"/>
      <c r="S90" s="244"/>
      <c r="T90" s="244"/>
      <c r="U90" s="244"/>
    </row>
    <row r="91" spans="2:21">
      <c r="C91" s="349"/>
      <c r="D91" s="350"/>
      <c r="E91" s="350"/>
      <c r="F91" s="350"/>
      <c r="G91" s="295"/>
      <c r="H91" s="295"/>
      <c r="I91" s="351"/>
      <c r="J91" s="351"/>
      <c r="K91" s="351"/>
      <c r="L91" s="351"/>
      <c r="M91" s="351"/>
      <c r="N91" s="351"/>
      <c r="O91" s="279"/>
      <c r="P91" s="279"/>
      <c r="Q91" s="244"/>
      <c r="R91" s="244"/>
      <c r="S91" s="244"/>
      <c r="T91" s="244"/>
      <c r="U91" s="244"/>
    </row>
    <row r="92" spans="2:21">
      <c r="J92" s="221"/>
      <c r="P92" s="244"/>
      <c r="Q92" s="244"/>
      <c r="R92" s="244"/>
      <c r="S92" s="244"/>
      <c r="T92" s="244"/>
      <c r="U92" s="244"/>
    </row>
    <row r="93" spans="2:21">
      <c r="J93" s="221"/>
      <c r="P93" s="244"/>
      <c r="Q93" s="244"/>
      <c r="R93" s="352" t="s">
        <v>111</v>
      </c>
      <c r="S93" s="145" t="s">
        <v>112</v>
      </c>
      <c r="U93" s="244"/>
    </row>
    <row r="94" spans="2:21">
      <c r="J94" s="221"/>
      <c r="P94" s="244"/>
      <c r="Q94" s="244"/>
      <c r="U94" s="244"/>
    </row>
    <row r="95" spans="2:21">
      <c r="C95" s="233" t="s">
        <v>108</v>
      </c>
      <c r="J95" s="221"/>
      <c r="L95" s="233" t="s">
        <v>107</v>
      </c>
      <c r="P95" s="244"/>
      <c r="Q95" s="244"/>
      <c r="U95" s="244"/>
    </row>
    <row r="96" spans="2:21">
      <c r="J96" s="221"/>
      <c r="P96" s="244"/>
      <c r="Q96" s="244"/>
      <c r="R96" s="352" t="s">
        <v>102</v>
      </c>
      <c r="S96" s="353" t="s">
        <v>250</v>
      </c>
      <c r="U96" s="244"/>
    </row>
    <row r="97" spans="10:21">
      <c r="J97" s="221"/>
      <c r="P97" s="244"/>
      <c r="Q97" s="244"/>
      <c r="R97" s="352"/>
      <c r="S97" s="201" t="s">
        <v>106</v>
      </c>
      <c r="U97" s="244"/>
    </row>
    <row r="98" spans="10:21" ht="13.5" thickBot="1">
      <c r="J98" s="221"/>
      <c r="P98" s="244"/>
      <c r="Q98" s="244"/>
      <c r="R98" s="354" t="s">
        <v>184</v>
      </c>
      <c r="U98" s="244"/>
    </row>
    <row r="99" spans="10:21">
      <c r="J99" s="221"/>
      <c r="P99" s="244"/>
      <c r="Q99" s="244"/>
      <c r="R99" s="355" t="s">
        <v>126</v>
      </c>
      <c r="S99" s="356" t="s">
        <v>127</v>
      </c>
      <c r="U99" s="244"/>
    </row>
    <row r="100" spans="10:21">
      <c r="J100" s="221"/>
      <c r="P100" s="244"/>
      <c r="Q100" s="244"/>
      <c r="R100" s="357">
        <v>2020</v>
      </c>
      <c r="S100" s="358" t="s">
        <v>287</v>
      </c>
      <c r="T100" s="244"/>
      <c r="U100" s="244"/>
    </row>
    <row r="101" spans="10:21">
      <c r="J101" s="221"/>
      <c r="P101" s="244"/>
      <c r="Q101" s="244"/>
      <c r="R101" s="359">
        <v>0.105</v>
      </c>
      <c r="S101" s="358" t="s">
        <v>271</v>
      </c>
      <c r="T101" s="244"/>
      <c r="U101" s="244"/>
    </row>
    <row r="102" spans="10:21">
      <c r="J102" s="221"/>
      <c r="P102" s="244"/>
      <c r="Q102" s="244"/>
      <c r="R102" s="360">
        <v>0</v>
      </c>
      <c r="S102" s="358" t="s">
        <v>1</v>
      </c>
      <c r="T102" s="244"/>
      <c r="U102" s="244"/>
    </row>
    <row r="103" spans="10:21">
      <c r="J103" s="221"/>
      <c r="P103" s="244"/>
      <c r="Q103" s="244"/>
      <c r="R103" s="361">
        <v>0.46050615614234741</v>
      </c>
      <c r="S103" s="362" t="s">
        <v>97</v>
      </c>
      <c r="T103" s="244"/>
      <c r="U103" s="244"/>
    </row>
    <row r="104" spans="10:21">
      <c r="J104" s="221"/>
      <c r="P104" s="244"/>
      <c r="Q104" s="244"/>
      <c r="R104" s="361">
        <v>4.1187278923387416E-2</v>
      </c>
      <c r="S104" s="362" t="s">
        <v>98</v>
      </c>
      <c r="T104" s="244"/>
      <c r="U104" s="244"/>
    </row>
    <row r="105" spans="10:21">
      <c r="J105" s="221"/>
      <c r="P105" s="244"/>
      <c r="Q105" s="244"/>
      <c r="R105" s="361">
        <v>0</v>
      </c>
      <c r="S105" s="362" t="s">
        <v>99</v>
      </c>
      <c r="T105" s="244"/>
      <c r="U105" s="244"/>
    </row>
    <row r="106" spans="10:21">
      <c r="J106" s="221"/>
      <c r="P106" s="244"/>
      <c r="Q106" s="244"/>
      <c r="R106" s="361">
        <v>0</v>
      </c>
      <c r="S106" s="362" t="s">
        <v>100</v>
      </c>
      <c r="T106" s="244"/>
      <c r="U106" s="244"/>
    </row>
    <row r="107" spans="10:21">
      <c r="J107" s="221"/>
      <c r="P107" s="244"/>
      <c r="Q107" s="244"/>
      <c r="R107" s="361">
        <v>0.53949384385765264</v>
      </c>
      <c r="S107" s="363" t="s">
        <v>101</v>
      </c>
      <c r="T107" s="244"/>
      <c r="U107" s="244"/>
    </row>
    <row r="108" spans="10:21">
      <c r="J108" s="221"/>
      <c r="P108" s="244"/>
      <c r="Q108" s="244"/>
      <c r="R108" s="364">
        <v>795428152.53506243</v>
      </c>
      <c r="S108" s="365" t="s">
        <v>272</v>
      </c>
      <c r="T108" s="244"/>
      <c r="U108" s="244"/>
    </row>
    <row r="109" spans="10:21">
      <c r="J109" s="221"/>
      <c r="P109" s="244"/>
      <c r="Q109" s="244"/>
      <c r="R109" s="366">
        <v>0.254714</v>
      </c>
      <c r="S109" s="367" t="s">
        <v>273</v>
      </c>
      <c r="T109" s="244"/>
      <c r="U109" s="244"/>
    </row>
    <row r="110" spans="10:21">
      <c r="J110" s="221"/>
      <c r="P110" s="244"/>
      <c r="Q110" s="244"/>
      <c r="R110" s="368">
        <v>0</v>
      </c>
      <c r="S110" s="367" t="s">
        <v>274</v>
      </c>
      <c r="T110" s="244"/>
      <c r="U110" s="244"/>
    </row>
    <row r="111" spans="10:21">
      <c r="J111" s="221"/>
      <c r="P111" s="244"/>
      <c r="Q111" s="244"/>
      <c r="R111" s="368">
        <v>-788468.85625115747</v>
      </c>
      <c r="S111" s="367" t="s">
        <v>275</v>
      </c>
      <c r="T111" s="244"/>
      <c r="U111" s="244"/>
    </row>
    <row r="112" spans="10:21">
      <c r="J112" s="221"/>
      <c r="P112" s="244"/>
      <c r="Q112" s="244"/>
      <c r="R112" s="368">
        <v>309117.18454392004</v>
      </c>
      <c r="S112" s="367" t="s">
        <v>288</v>
      </c>
      <c r="T112" s="244"/>
      <c r="U112" s="244"/>
    </row>
    <row r="113" spans="3:21">
      <c r="C113" s="244"/>
      <c r="D113" s="293"/>
      <c r="E113" s="244"/>
      <c r="F113" s="244"/>
      <c r="G113" s="244"/>
      <c r="H113" s="326"/>
      <c r="I113" s="244"/>
      <c r="J113" s="279"/>
      <c r="K113" s="244"/>
      <c r="L113" s="244"/>
      <c r="M113" s="244"/>
      <c r="P113" s="244"/>
      <c r="Q113" s="244"/>
      <c r="R113" s="368">
        <v>132702347.60129565</v>
      </c>
      <c r="S113" s="367" t="s">
        <v>277</v>
      </c>
      <c r="T113" s="244"/>
      <c r="U113" s="244"/>
    </row>
    <row r="114" spans="3:21">
      <c r="C114" s="244"/>
      <c r="D114" s="293"/>
      <c r="E114" s="244"/>
      <c r="F114" s="244"/>
      <c r="G114" s="244"/>
      <c r="H114" s="326"/>
      <c r="I114" s="244"/>
      <c r="J114" s="279"/>
      <c r="K114" s="244"/>
      <c r="L114" s="244"/>
      <c r="M114" s="244"/>
      <c r="P114" s="244"/>
      <c r="Q114" s="244"/>
      <c r="R114" s="368">
        <v>60145384.298879899</v>
      </c>
      <c r="S114" s="367" t="s">
        <v>278</v>
      </c>
      <c r="T114" s="244"/>
      <c r="U114" s="244"/>
    </row>
    <row r="115" spans="3:21">
      <c r="C115" s="244"/>
      <c r="D115" s="293"/>
      <c r="E115" s="244"/>
      <c r="F115" s="244"/>
      <c r="G115" s="244"/>
      <c r="H115" s="326"/>
      <c r="I115" s="244"/>
      <c r="J115" s="279"/>
      <c r="K115" s="244"/>
      <c r="L115" s="244"/>
      <c r="M115" s="244"/>
      <c r="P115" s="244"/>
      <c r="Q115" s="244"/>
      <c r="R115" s="368">
        <v>14920147.723752318</v>
      </c>
      <c r="S115" s="367" t="s">
        <v>279</v>
      </c>
      <c r="T115" s="244"/>
      <c r="U115" s="244"/>
    </row>
    <row r="116" spans="3:21">
      <c r="C116" s="244"/>
      <c r="D116" s="293"/>
      <c r="E116" s="244"/>
      <c r="F116" s="244"/>
      <c r="G116" s="244"/>
      <c r="H116" s="326"/>
      <c r="I116" s="244"/>
      <c r="J116" s="279"/>
      <c r="K116" s="244"/>
      <c r="L116" s="244"/>
      <c r="M116" s="244"/>
      <c r="P116" s="244"/>
      <c r="Q116" s="244"/>
      <c r="R116" s="368">
        <v>0</v>
      </c>
      <c r="S116" s="367" t="s">
        <v>280</v>
      </c>
      <c r="T116" s="244"/>
      <c r="U116" s="244"/>
    </row>
    <row r="117" spans="3:21">
      <c r="C117" s="244"/>
      <c r="D117" s="293"/>
      <c r="E117" s="244"/>
      <c r="F117" s="244"/>
      <c r="G117" s="244"/>
      <c r="H117" s="326"/>
      <c r="I117" s="244"/>
      <c r="J117" s="279"/>
      <c r="K117" s="244"/>
      <c r="L117" s="244"/>
      <c r="M117" s="244"/>
      <c r="P117" s="244"/>
      <c r="Q117" s="244"/>
      <c r="R117" s="368">
        <v>30906225.643601935</v>
      </c>
      <c r="S117" s="367" t="s">
        <v>281</v>
      </c>
      <c r="T117" s="244"/>
      <c r="U117" s="244"/>
    </row>
    <row r="118" spans="3:21">
      <c r="C118" s="244"/>
      <c r="D118" s="293"/>
      <c r="E118" s="244"/>
      <c r="F118" s="244"/>
      <c r="G118" s="244"/>
      <c r="H118" s="326"/>
      <c r="I118" s="244"/>
      <c r="J118" s="279"/>
      <c r="K118" s="244"/>
      <c r="L118" s="244"/>
      <c r="M118" s="244"/>
      <c r="P118" s="244"/>
      <c r="Q118" s="244"/>
      <c r="R118" s="369">
        <v>0</v>
      </c>
      <c r="S118" s="367" t="s">
        <v>104</v>
      </c>
      <c r="T118" s="244"/>
      <c r="U118" s="244"/>
    </row>
    <row r="119" spans="3:21">
      <c r="C119" s="244"/>
      <c r="D119" s="293"/>
      <c r="E119" s="244"/>
      <c r="F119" s="244"/>
      <c r="G119" s="244"/>
      <c r="H119" s="326"/>
      <c r="I119" s="244"/>
      <c r="J119" s="279"/>
      <c r="K119" s="244"/>
      <c r="L119" s="244"/>
      <c r="M119" s="244"/>
      <c r="P119" s="244"/>
      <c r="Q119" s="244"/>
      <c r="R119" s="368">
        <v>956576295.6876924</v>
      </c>
      <c r="S119" s="367" t="s">
        <v>282</v>
      </c>
      <c r="T119" s="244"/>
      <c r="U119" s="244"/>
    </row>
    <row r="120" spans="3:21">
      <c r="C120" s="244"/>
      <c r="D120" s="293"/>
      <c r="E120" s="244"/>
      <c r="F120" s="244"/>
      <c r="G120" s="244"/>
      <c r="H120" s="326"/>
      <c r="I120" s="244"/>
      <c r="J120" s="279"/>
      <c r="K120" s="244"/>
      <c r="L120" s="244"/>
      <c r="M120" s="244"/>
      <c r="P120" s="244"/>
      <c r="Q120" s="244"/>
      <c r="R120" s="369">
        <v>0.1064171487591708</v>
      </c>
      <c r="S120" s="370" t="s">
        <v>283</v>
      </c>
      <c r="T120" s="244"/>
      <c r="U120" s="244"/>
    </row>
    <row r="121" spans="3:21">
      <c r="C121" s="244"/>
      <c r="D121" s="293"/>
      <c r="E121" s="244"/>
      <c r="F121" s="244"/>
      <c r="G121" s="244"/>
      <c r="H121" s="326"/>
      <c r="I121" s="244"/>
      <c r="J121" s="279"/>
      <c r="K121" s="244"/>
      <c r="L121" s="244"/>
      <c r="M121" s="244"/>
      <c r="P121" s="244"/>
      <c r="Q121" s="244"/>
      <c r="R121" s="371">
        <v>1056374505</v>
      </c>
      <c r="S121" s="362" t="s">
        <v>37</v>
      </c>
      <c r="T121" s="244"/>
      <c r="U121" s="244"/>
    </row>
    <row r="122" spans="3:21">
      <c r="C122" s="244"/>
      <c r="D122" s="293"/>
      <c r="E122" s="244"/>
      <c r="F122" s="244"/>
      <c r="G122" s="244"/>
      <c r="H122" s="326"/>
      <c r="I122" s="244"/>
      <c r="J122" s="279"/>
      <c r="K122" s="244"/>
      <c r="L122" s="244"/>
      <c r="M122" s="244"/>
      <c r="P122" s="244"/>
      <c r="Q122" s="244"/>
      <c r="R122" s="372">
        <v>1184346694</v>
      </c>
      <c r="S122" s="363" t="s">
        <v>38</v>
      </c>
      <c r="T122" s="244"/>
      <c r="U122" s="244"/>
    </row>
    <row r="123" spans="3:21">
      <c r="C123" s="244"/>
      <c r="D123" s="293"/>
      <c r="E123" s="244"/>
      <c r="F123" s="244"/>
      <c r="G123" s="244"/>
      <c r="H123" s="326"/>
      <c r="I123" s="244"/>
      <c r="J123" s="279"/>
      <c r="K123" s="244"/>
      <c r="L123" s="244"/>
      <c r="M123" s="244"/>
      <c r="N123" s="244"/>
      <c r="P123" s="244"/>
      <c r="Q123" s="244"/>
      <c r="R123" s="372">
        <v>1128777668.0769231</v>
      </c>
      <c r="S123" s="373" t="s">
        <v>286</v>
      </c>
      <c r="T123" s="374"/>
      <c r="U123" s="244"/>
    </row>
    <row r="124" spans="3:21" ht="13.5" thickBot="1">
      <c r="C124" s="244"/>
      <c r="D124" s="293"/>
      <c r="E124" s="244"/>
      <c r="F124" s="244"/>
      <c r="G124" s="244"/>
      <c r="H124" s="326"/>
      <c r="I124" s="244"/>
      <c r="J124" s="279"/>
      <c r="K124" s="244"/>
      <c r="L124" s="244"/>
      <c r="M124" s="244"/>
      <c r="N124" s="244"/>
      <c r="P124" s="244"/>
      <c r="Q124" s="244"/>
      <c r="R124" s="375">
        <v>32737164</v>
      </c>
      <c r="S124" s="376" t="s">
        <v>258</v>
      </c>
      <c r="T124" s="244"/>
      <c r="U124" s="244"/>
    </row>
    <row r="125" spans="3:21">
      <c r="C125" s="244"/>
      <c r="D125" s="293"/>
      <c r="E125" s="244"/>
      <c r="F125" s="244"/>
      <c r="G125" s="244"/>
      <c r="H125" s="326"/>
      <c r="I125" s="244"/>
      <c r="J125" s="279"/>
      <c r="K125" s="244"/>
      <c r="L125" s="244"/>
      <c r="M125" s="244"/>
      <c r="N125" s="244"/>
      <c r="P125" s="244"/>
      <c r="Q125" s="244"/>
      <c r="R125" s="244"/>
      <c r="S125" s="244"/>
      <c r="T125" s="244"/>
      <c r="U125" s="244"/>
    </row>
    <row r="126" spans="3:21">
      <c r="C126" s="244"/>
      <c r="D126" s="293"/>
      <c r="E126" s="244"/>
      <c r="F126" s="244"/>
      <c r="G126" s="244"/>
      <c r="H126" s="326"/>
      <c r="I126" s="244"/>
      <c r="J126" s="279"/>
      <c r="K126" s="244"/>
      <c r="L126" s="244"/>
      <c r="M126" s="244"/>
      <c r="N126" s="244"/>
      <c r="P126" s="244"/>
      <c r="Q126" s="244"/>
      <c r="R126" s="352" t="s">
        <v>103</v>
      </c>
      <c r="S126" s="244" t="s">
        <v>115</v>
      </c>
      <c r="T126" s="377"/>
      <c r="U126" s="344"/>
    </row>
    <row r="127" spans="3:21" ht="13.5" thickBot="1">
      <c r="C127" s="249"/>
      <c r="D127" s="322"/>
      <c r="E127" s="249"/>
      <c r="F127" s="249"/>
      <c r="G127" s="249"/>
      <c r="H127" s="324"/>
      <c r="I127" s="244"/>
      <c r="J127" s="279"/>
      <c r="K127" s="244"/>
      <c r="L127" s="244"/>
      <c r="M127" s="244"/>
      <c r="N127" s="244"/>
      <c r="P127" s="244"/>
      <c r="Q127" s="244"/>
      <c r="R127" s="354" t="s">
        <v>185</v>
      </c>
      <c r="S127" s="244"/>
      <c r="T127" s="377"/>
      <c r="U127" s="344"/>
    </row>
    <row r="128" spans="3:21">
      <c r="C128" s="249"/>
      <c r="D128" s="322"/>
      <c r="E128" s="249"/>
      <c r="F128" s="249"/>
      <c r="G128" s="249"/>
      <c r="H128" s="324"/>
      <c r="I128" s="244"/>
      <c r="J128" s="279"/>
      <c r="K128" s="244"/>
      <c r="L128" s="244"/>
      <c r="M128" s="244"/>
      <c r="N128" s="244"/>
      <c r="P128" s="244"/>
      <c r="Q128" s="244"/>
      <c r="R128" s="378">
        <f>+M19</f>
        <v>38282711.552259907</v>
      </c>
      <c r="S128" s="244" t="str">
        <f>+K19&amp;" "&amp;M17</f>
        <v>PROJECTED YEAR Rev Require</v>
      </c>
      <c r="T128" s="377"/>
      <c r="U128" s="344"/>
    </row>
    <row r="129" spans="3:21">
      <c r="C129" s="249"/>
      <c r="D129" s="322"/>
      <c r="E129" s="249"/>
      <c r="F129" s="249"/>
      <c r="G129" s="249"/>
      <c r="H129" s="324"/>
      <c r="I129" s="244"/>
      <c r="J129" s="279"/>
      <c r="K129" s="244"/>
      <c r="L129" s="244"/>
      <c r="M129" s="244"/>
      <c r="N129" s="244"/>
      <c r="O129" s="244"/>
      <c r="P129" s="244"/>
      <c r="Q129" s="244"/>
      <c r="R129" s="379">
        <f>+N19</f>
        <v>38282711.552259907</v>
      </c>
      <c r="S129" s="244" t="str">
        <f>K19&amp;" "&amp;N17</f>
        <v>PROJECTED YEAR  W Incentives</v>
      </c>
      <c r="T129" s="244"/>
      <c r="U129" s="244"/>
    </row>
    <row r="130" spans="3:21" ht="13.5" thickBot="1">
      <c r="C130" s="249"/>
      <c r="D130" s="322"/>
      <c r="E130" s="249"/>
      <c r="F130" s="249"/>
      <c r="G130" s="249"/>
      <c r="H130" s="324"/>
      <c r="I130" s="244"/>
      <c r="J130" s="279"/>
      <c r="K130" s="244"/>
      <c r="L130" s="244"/>
      <c r="M130" s="244"/>
      <c r="N130" s="244"/>
      <c r="O130" s="244"/>
      <c r="P130" s="244"/>
      <c r="Q130" s="244"/>
      <c r="R130" s="380">
        <f>+O19</f>
        <v>0</v>
      </c>
      <c r="S130" s="244" t="str">
        <f>K19&amp;" "&amp;O17</f>
        <v>PROJECTED YEAR Incentive Amounts</v>
      </c>
      <c r="T130" s="244"/>
      <c r="U130" s="244"/>
    </row>
    <row r="131" spans="3:21">
      <c r="C131" s="249"/>
      <c r="D131" s="322"/>
      <c r="E131" s="249"/>
      <c r="F131" s="249"/>
      <c r="G131" s="249"/>
      <c r="H131" s="324"/>
      <c r="I131" s="244"/>
      <c r="J131" s="279"/>
      <c r="K131" s="244"/>
      <c r="L131" s="244"/>
      <c r="M131" s="244"/>
      <c r="N131" s="244"/>
      <c r="O131" s="244"/>
      <c r="P131" s="244"/>
      <c r="Q131" s="244"/>
      <c r="R131" s="244"/>
      <c r="S131" s="244"/>
      <c r="T131" s="244"/>
      <c r="U131" s="244"/>
    </row>
    <row r="132" spans="3:21" ht="12.75" customHeight="1">
      <c r="R132" s="244"/>
      <c r="S132" s="244"/>
    </row>
    <row r="133" spans="3:21" ht="12.75" customHeight="1">
      <c r="R133" s="352" t="s">
        <v>113</v>
      </c>
      <c r="S133" s="353" t="s">
        <v>114</v>
      </c>
    </row>
  </sheetData>
  <mergeCells count="9">
    <mergeCell ref="I82:N87"/>
    <mergeCell ref="K15:O16"/>
    <mergeCell ref="C8:H8"/>
    <mergeCell ref="C79:E80"/>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horizontalDpi="1200" verticalDpi="1200"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8"/>
  <dimension ref="A1:P163"/>
  <sheetViews>
    <sheetView zoomScale="85" zoomScaleNormal="85"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17 of 20</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11283505.602105767</v>
      </c>
      <c r="P5" s="244"/>
    </row>
    <row r="6" spans="1:16" ht="15.75">
      <c r="C6" s="236"/>
      <c r="D6" s="293"/>
      <c r="E6" s="244"/>
      <c r="F6" s="244"/>
      <c r="G6" s="244"/>
      <c r="H6" s="450"/>
      <c r="I6" s="450"/>
      <c r="J6" s="451"/>
      <c r="K6" s="452" t="s">
        <v>243</v>
      </c>
      <c r="L6" s="453"/>
      <c r="M6" s="279"/>
      <c r="N6" s="454">
        <f>VLOOKUP(I10,C17:I73,6)</f>
        <v>11283505.602105767</v>
      </c>
      <c r="O6" s="244"/>
      <c r="P6" s="244"/>
    </row>
    <row r="7" spans="1:16" ht="13.5" thickBot="1">
      <c r="C7" s="455" t="s">
        <v>46</v>
      </c>
      <c r="D7" s="635" t="s">
        <v>247</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263</v>
      </c>
      <c r="E9" s="466"/>
      <c r="F9" s="466"/>
      <c r="G9" s="466"/>
      <c r="H9" s="466"/>
      <c r="I9" s="467"/>
      <c r="J9" s="468"/>
      <c r="O9" s="469"/>
      <c r="P9" s="279"/>
    </row>
    <row r="10" spans="1:16">
      <c r="C10" s="470" t="s">
        <v>49</v>
      </c>
      <c r="D10" s="471">
        <v>87679479</v>
      </c>
      <c r="E10" s="300" t="s">
        <v>50</v>
      </c>
      <c r="F10" s="469"/>
      <c r="G10" s="409"/>
      <c r="H10" s="409"/>
      <c r="I10" s="472">
        <f>+'OKT.WS.F.BPU.ATRR.Projected'!R100</f>
        <v>2020</v>
      </c>
      <c r="J10" s="468"/>
      <c r="K10" s="295" t="s">
        <v>51</v>
      </c>
      <c r="O10" s="279"/>
      <c r="P10" s="279"/>
    </row>
    <row r="11" spans="1:16">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12</v>
      </c>
      <c r="E12" s="473" t="s">
        <v>55</v>
      </c>
      <c r="F12" s="409"/>
      <c r="G12" s="221"/>
      <c r="H12" s="221"/>
      <c r="I12" s="477">
        <f>'OKT.WS.F.BPU.ATRR.Projected'!$F$78</f>
        <v>0.1064171487591708</v>
      </c>
      <c r="J12" s="414"/>
      <c r="K12" s="145" t="s">
        <v>56</v>
      </c>
      <c r="O12" s="279"/>
      <c r="P12" s="279"/>
    </row>
    <row r="13" spans="1:16">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5" thickBot="1">
      <c r="C14" s="473" t="s">
        <v>60</v>
      </c>
      <c r="D14" s="474" t="s">
        <v>61</v>
      </c>
      <c r="E14" s="279" t="s">
        <v>62</v>
      </c>
      <c r="F14" s="409"/>
      <c r="G14" s="221"/>
      <c r="H14" s="221"/>
      <c r="I14" s="478">
        <f>IF(D10=0,0,D10/D13)</f>
        <v>2578808.2058823528</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2017</v>
      </c>
      <c r="D17" s="613">
        <v>0</v>
      </c>
      <c r="E17" s="621">
        <v>0</v>
      </c>
      <c r="F17" s="613">
        <v>82823000</v>
      </c>
      <c r="G17" s="621">
        <v>4552779.1652027937</v>
      </c>
      <c r="H17" s="618">
        <v>4552779.1652027937</v>
      </c>
      <c r="I17" s="501">
        <f t="shared" ref="I17:I71" si="1">H17-G17</f>
        <v>0</v>
      </c>
      <c r="J17" s="501"/>
      <c r="K17" s="502">
        <f>+G17</f>
        <v>4552779.1652027937</v>
      </c>
      <c r="L17" s="504">
        <f t="shared" ref="L17:L71" si="2">IF(K17&lt;&gt;0,+G17-K17,0)</f>
        <v>0</v>
      </c>
      <c r="M17" s="502">
        <f>+H17</f>
        <v>4552779.1652027937</v>
      </c>
      <c r="N17" s="504">
        <f t="shared" ref="N17:N71" si="3">IF(M17&lt;&gt;0,+H17-M17,0)</f>
        <v>0</v>
      </c>
      <c r="O17" s="505">
        <f t="shared" ref="O17:O71" si="4">+N17-L17</f>
        <v>0</v>
      </c>
      <c r="P17" s="279"/>
    </row>
    <row r="18" spans="2:16">
      <c r="B18" s="145" t="str">
        <f t="shared" si="0"/>
        <v/>
      </c>
      <c r="C18" s="496">
        <f>IF(D11="","-",+C17+1)</f>
        <v>2018</v>
      </c>
      <c r="D18" s="615">
        <v>82823000</v>
      </c>
      <c r="E18" s="614">
        <v>2031199.4497102054</v>
      </c>
      <c r="F18" s="615">
        <v>80791800.550289795</v>
      </c>
      <c r="G18" s="614">
        <v>11642834.922050247</v>
      </c>
      <c r="H18" s="618">
        <v>11642834.922050247</v>
      </c>
      <c r="I18" s="501">
        <f t="shared" si="1"/>
        <v>0</v>
      </c>
      <c r="J18" s="501"/>
      <c r="K18" s="593">
        <f>+G18</f>
        <v>11642834.922050247</v>
      </c>
      <c r="L18" s="597">
        <f t="shared" si="2"/>
        <v>0</v>
      </c>
      <c r="M18" s="593">
        <f>+H18</f>
        <v>11642834.922050247</v>
      </c>
      <c r="N18" s="505">
        <f t="shared" si="3"/>
        <v>0</v>
      </c>
      <c r="O18" s="505">
        <f t="shared" si="4"/>
        <v>0</v>
      </c>
      <c r="P18" s="279"/>
    </row>
    <row r="19" spans="2:16">
      <c r="B19" s="145" t="str">
        <f t="shared" si="0"/>
        <v/>
      </c>
      <c r="C19" s="496">
        <f>IF(D11="","-",+C18+1)</f>
        <v>2019</v>
      </c>
      <c r="D19" s="615">
        <v>80791800.550289795</v>
      </c>
      <c r="E19" s="614">
        <v>2031199.4497102054</v>
      </c>
      <c r="F19" s="615">
        <v>78760601.10057959</v>
      </c>
      <c r="G19" s="614">
        <v>11404187.212716255</v>
      </c>
      <c r="H19" s="618">
        <v>11404187.212716255</v>
      </c>
      <c r="I19" s="501">
        <f t="shared" si="1"/>
        <v>0</v>
      </c>
      <c r="J19" s="501"/>
      <c r="K19" s="593">
        <f>+G19</f>
        <v>11404187.212716255</v>
      </c>
      <c r="L19" s="597">
        <f t="shared" ref="L19" si="5">IF(K19&lt;&gt;0,+G19-K19,0)</f>
        <v>0</v>
      </c>
      <c r="M19" s="593">
        <f>+H19</f>
        <v>11404187.212716255</v>
      </c>
      <c r="N19" s="505">
        <f t="shared" ref="N19" si="6">IF(M19&lt;&gt;0,+H19-M19,0)</f>
        <v>0</v>
      </c>
      <c r="O19" s="505">
        <f t="shared" ref="O19" si="7">+N19-L19</f>
        <v>0</v>
      </c>
      <c r="P19" s="279"/>
    </row>
    <row r="20" spans="2:16">
      <c r="B20" s="145" t="str">
        <f t="shared" si="0"/>
        <v>IU</v>
      </c>
      <c r="C20" s="496">
        <f>IF(D11="","-",+C19+1)</f>
        <v>2020</v>
      </c>
      <c r="D20" s="615">
        <v>84194797.10057959</v>
      </c>
      <c r="E20" s="614">
        <v>2584327.8381604804</v>
      </c>
      <c r="F20" s="615">
        <v>81610469.262419105</v>
      </c>
      <c r="G20" s="614">
        <v>11283505.602105767</v>
      </c>
      <c r="H20" s="618">
        <v>11283505.602105767</v>
      </c>
      <c r="I20" s="501">
        <f t="shared" si="1"/>
        <v>0</v>
      </c>
      <c r="J20" s="501"/>
      <c r="K20" s="593">
        <f>+G20</f>
        <v>11283505.602105767</v>
      </c>
      <c r="L20" s="597">
        <f t="shared" ref="L20" si="8">IF(K20&lt;&gt;0,+G20-K20,0)</f>
        <v>0</v>
      </c>
      <c r="M20" s="593">
        <f>+H20</f>
        <v>11283505.602105767</v>
      </c>
      <c r="N20" s="505">
        <f t="shared" si="3"/>
        <v>0</v>
      </c>
      <c r="O20" s="505">
        <f t="shared" si="4"/>
        <v>0</v>
      </c>
      <c r="P20" s="279"/>
    </row>
    <row r="21" spans="2:16">
      <c r="B21" s="145" t="str">
        <f t="shared" si="0"/>
        <v>IU</v>
      </c>
      <c r="C21" s="496">
        <f>IF(D11="","-",+C20+1)</f>
        <v>2021</v>
      </c>
      <c r="D21" s="615">
        <v>80497433.033494681</v>
      </c>
      <c r="E21" s="614">
        <v>2824819.1935483869</v>
      </c>
      <c r="F21" s="615">
        <v>77672613.8399463</v>
      </c>
      <c r="G21" s="614">
        <v>11380637.767430846</v>
      </c>
      <c r="H21" s="618">
        <v>11380637.767430846</v>
      </c>
      <c r="I21" s="501">
        <f t="shared" si="1"/>
        <v>0</v>
      </c>
      <c r="J21" s="501"/>
      <c r="K21" s="593">
        <f>+G21</f>
        <v>11380637.767430846</v>
      </c>
      <c r="L21" s="597">
        <f t="shared" ref="L21" si="9">IF(K21&lt;&gt;0,+G21-K21,0)</f>
        <v>0</v>
      </c>
      <c r="M21" s="593">
        <f>+H21</f>
        <v>11380637.767430846</v>
      </c>
      <c r="N21" s="505">
        <f t="shared" si="3"/>
        <v>0</v>
      </c>
      <c r="O21" s="505">
        <f t="shared" si="4"/>
        <v>0</v>
      </c>
      <c r="P21" s="279"/>
    </row>
    <row r="22" spans="2:16">
      <c r="B22" s="145" t="str">
        <f t="shared" si="0"/>
        <v>IU</v>
      </c>
      <c r="C22" s="496">
        <f>IF(D11="","-",+C21+1)</f>
        <v>2022</v>
      </c>
      <c r="D22" s="509">
        <f>IF(F21+SUM(E$17:E21)=D$10,F21,D$10-SUM(E$17:E21))</f>
        <v>78207933.068870723</v>
      </c>
      <c r="E22" s="510">
        <f t="shared" ref="E22:E49" si="10">IF(+I$14&lt;F21,I$14,D22)</f>
        <v>2578808.2058823528</v>
      </c>
      <c r="F22" s="511">
        <f t="shared" ref="F22:F71" si="11">+D22-E22</f>
        <v>75629124.862988368</v>
      </c>
      <c r="G22" s="512">
        <f t="shared" ref="G22:G71" si="12">(D22+F22)/2*I$12+E22</f>
        <v>10764258.745186266</v>
      </c>
      <c r="H22" s="478">
        <f t="shared" ref="H22:H71" si="13">+(D22+F22)/2*I$13+E22</f>
        <v>10764258.745186266</v>
      </c>
      <c r="I22" s="501">
        <f t="shared" si="1"/>
        <v>0</v>
      </c>
      <c r="J22" s="501"/>
      <c r="K22" s="513"/>
      <c r="L22" s="505">
        <f t="shared" si="2"/>
        <v>0</v>
      </c>
      <c r="M22" s="513"/>
      <c r="N22" s="505">
        <f t="shared" si="3"/>
        <v>0</v>
      </c>
      <c r="O22" s="505">
        <f t="shared" si="4"/>
        <v>0</v>
      </c>
      <c r="P22" s="279"/>
    </row>
    <row r="23" spans="2:16">
      <c r="B23" s="145" t="str">
        <f t="shared" si="0"/>
        <v/>
      </c>
      <c r="C23" s="496">
        <f>IF(D11="","-",+C22+1)</f>
        <v>2023</v>
      </c>
      <c r="D23" s="509">
        <f>IF(F22+SUM(E$17:E22)=D$10,F22,D$10-SUM(E$17:E22))</f>
        <v>75629124.862988368</v>
      </c>
      <c r="E23" s="510">
        <f t="shared" si="10"/>
        <v>2578808.2058823528</v>
      </c>
      <c r="F23" s="511">
        <f t="shared" si="11"/>
        <v>73050316.657106012</v>
      </c>
      <c r="G23" s="512">
        <f t="shared" si="12"/>
        <v>10489829.328719513</v>
      </c>
      <c r="H23" s="478">
        <f t="shared" si="13"/>
        <v>10489829.328719513</v>
      </c>
      <c r="I23" s="501">
        <f t="shared" si="1"/>
        <v>0</v>
      </c>
      <c r="J23" s="501"/>
      <c r="K23" s="513"/>
      <c r="L23" s="505">
        <f t="shared" si="2"/>
        <v>0</v>
      </c>
      <c r="M23" s="513"/>
      <c r="N23" s="505">
        <f t="shared" si="3"/>
        <v>0</v>
      </c>
      <c r="O23" s="505">
        <f t="shared" si="4"/>
        <v>0</v>
      </c>
      <c r="P23" s="279"/>
    </row>
    <row r="24" spans="2:16">
      <c r="B24" s="145" t="str">
        <f t="shared" si="0"/>
        <v/>
      </c>
      <c r="C24" s="496">
        <f>IF(D11="","-",+C23+1)</f>
        <v>2024</v>
      </c>
      <c r="D24" s="509">
        <f>IF(F23+SUM(E$17:E23)=D$10,F23,D$10-SUM(E$17:E23))</f>
        <v>73050316.657106012</v>
      </c>
      <c r="E24" s="510">
        <f t="shared" si="10"/>
        <v>2578808.2058823528</v>
      </c>
      <c r="F24" s="511">
        <f t="shared" si="11"/>
        <v>70471508.451223657</v>
      </c>
      <c r="G24" s="512">
        <f t="shared" si="12"/>
        <v>10215399.912252758</v>
      </c>
      <c r="H24" s="478">
        <f t="shared" si="13"/>
        <v>10215399.912252758</v>
      </c>
      <c r="I24" s="501">
        <f t="shared" si="1"/>
        <v>0</v>
      </c>
      <c r="J24" s="501"/>
      <c r="K24" s="513"/>
      <c r="L24" s="505">
        <f t="shared" si="2"/>
        <v>0</v>
      </c>
      <c r="M24" s="513"/>
      <c r="N24" s="505">
        <f t="shared" si="3"/>
        <v>0</v>
      </c>
      <c r="O24" s="505">
        <f t="shared" si="4"/>
        <v>0</v>
      </c>
      <c r="P24" s="279"/>
    </row>
    <row r="25" spans="2:16">
      <c r="B25" s="145" t="str">
        <f t="shared" si="0"/>
        <v/>
      </c>
      <c r="C25" s="496">
        <f>IF(D11="","-",+C24+1)</f>
        <v>2025</v>
      </c>
      <c r="D25" s="509">
        <f>IF(F24+SUM(E$17:E24)=D$10,F24,D$10-SUM(E$17:E24))</f>
        <v>70471508.451223657</v>
      </c>
      <c r="E25" s="510">
        <f t="shared" si="10"/>
        <v>2578808.2058823528</v>
      </c>
      <c r="F25" s="511">
        <f t="shared" si="11"/>
        <v>67892700.245341301</v>
      </c>
      <c r="G25" s="512">
        <f t="shared" si="12"/>
        <v>9940970.4957860075</v>
      </c>
      <c r="H25" s="478">
        <f t="shared" si="13"/>
        <v>9940970.4957860075</v>
      </c>
      <c r="I25" s="501">
        <f t="shared" si="1"/>
        <v>0</v>
      </c>
      <c r="J25" s="501"/>
      <c r="K25" s="513"/>
      <c r="L25" s="505">
        <f t="shared" si="2"/>
        <v>0</v>
      </c>
      <c r="M25" s="513"/>
      <c r="N25" s="505">
        <f t="shared" si="3"/>
        <v>0</v>
      </c>
      <c r="O25" s="505">
        <f t="shared" si="4"/>
        <v>0</v>
      </c>
      <c r="P25" s="279"/>
    </row>
    <row r="26" spans="2:16">
      <c r="B26" s="145" t="str">
        <f t="shared" si="0"/>
        <v/>
      </c>
      <c r="C26" s="496">
        <f>IF(D11="","-",+C25+1)</f>
        <v>2026</v>
      </c>
      <c r="D26" s="509">
        <f>IF(F25+SUM(E$17:E25)=D$10,F25,D$10-SUM(E$17:E25))</f>
        <v>67892700.245341301</v>
      </c>
      <c r="E26" s="510">
        <f t="shared" si="10"/>
        <v>2578808.2058823528</v>
      </c>
      <c r="F26" s="511">
        <f t="shared" si="11"/>
        <v>65313892.039458945</v>
      </c>
      <c r="G26" s="512">
        <f t="shared" si="12"/>
        <v>9666541.0793192536</v>
      </c>
      <c r="H26" s="478">
        <f t="shared" si="13"/>
        <v>9666541.0793192536</v>
      </c>
      <c r="I26" s="501">
        <f t="shared" si="1"/>
        <v>0</v>
      </c>
      <c r="J26" s="501"/>
      <c r="K26" s="513"/>
      <c r="L26" s="505">
        <f t="shared" si="2"/>
        <v>0</v>
      </c>
      <c r="M26" s="513"/>
      <c r="N26" s="505">
        <f t="shared" si="3"/>
        <v>0</v>
      </c>
      <c r="O26" s="505">
        <f t="shared" si="4"/>
        <v>0</v>
      </c>
      <c r="P26" s="279"/>
    </row>
    <row r="27" spans="2:16">
      <c r="B27" s="145" t="str">
        <f t="shared" si="0"/>
        <v/>
      </c>
      <c r="C27" s="496">
        <f>IF(D11="","-",+C26+1)</f>
        <v>2027</v>
      </c>
      <c r="D27" s="509">
        <f>IF(F26+SUM(E$17:E26)=D$10,F26,D$10-SUM(E$17:E26))</f>
        <v>65313892.039458945</v>
      </c>
      <c r="E27" s="510">
        <f t="shared" si="10"/>
        <v>2578808.2058823528</v>
      </c>
      <c r="F27" s="511">
        <f t="shared" si="11"/>
        <v>62735083.83357659</v>
      </c>
      <c r="G27" s="512">
        <f t="shared" si="12"/>
        <v>9392111.6628524996</v>
      </c>
      <c r="H27" s="478">
        <f t="shared" si="13"/>
        <v>9392111.6628524996</v>
      </c>
      <c r="I27" s="501">
        <f t="shared" si="1"/>
        <v>0</v>
      </c>
      <c r="J27" s="501"/>
      <c r="K27" s="513"/>
      <c r="L27" s="505">
        <f t="shared" si="2"/>
        <v>0</v>
      </c>
      <c r="M27" s="513"/>
      <c r="N27" s="505">
        <f t="shared" si="3"/>
        <v>0</v>
      </c>
      <c r="O27" s="505">
        <f t="shared" si="4"/>
        <v>0</v>
      </c>
      <c r="P27" s="279"/>
    </row>
    <row r="28" spans="2:16">
      <c r="B28" s="145" t="str">
        <f t="shared" si="0"/>
        <v/>
      </c>
      <c r="C28" s="496">
        <f>IF(D11="","-",+C27+1)</f>
        <v>2028</v>
      </c>
      <c r="D28" s="509">
        <f>IF(F27+SUM(E$17:E27)=D$10,F27,D$10-SUM(E$17:E27))</f>
        <v>62735083.83357659</v>
      </c>
      <c r="E28" s="510">
        <f t="shared" si="10"/>
        <v>2578808.2058823528</v>
      </c>
      <c r="F28" s="511">
        <f t="shared" si="11"/>
        <v>60156275.627694234</v>
      </c>
      <c r="G28" s="512">
        <f t="shared" si="12"/>
        <v>9117682.2463857476</v>
      </c>
      <c r="H28" s="478">
        <f t="shared" si="13"/>
        <v>9117682.2463857476</v>
      </c>
      <c r="I28" s="501">
        <f t="shared" si="1"/>
        <v>0</v>
      </c>
      <c r="J28" s="501"/>
      <c r="K28" s="513"/>
      <c r="L28" s="505">
        <f t="shared" si="2"/>
        <v>0</v>
      </c>
      <c r="M28" s="513"/>
      <c r="N28" s="505">
        <f t="shared" si="3"/>
        <v>0</v>
      </c>
      <c r="O28" s="505">
        <f t="shared" si="4"/>
        <v>0</v>
      </c>
      <c r="P28" s="279"/>
    </row>
    <row r="29" spans="2:16">
      <c r="B29" s="145" t="str">
        <f t="shared" si="0"/>
        <v/>
      </c>
      <c r="C29" s="496">
        <f>IF(D11="","-",+C28+1)</f>
        <v>2029</v>
      </c>
      <c r="D29" s="509">
        <f>IF(F28+SUM(E$17:E28)=D$10,F28,D$10-SUM(E$17:E28))</f>
        <v>60156275.627694234</v>
      </c>
      <c r="E29" s="510">
        <f t="shared" si="10"/>
        <v>2578808.2058823528</v>
      </c>
      <c r="F29" s="511">
        <f t="shared" si="11"/>
        <v>57577467.421811879</v>
      </c>
      <c r="G29" s="512">
        <f t="shared" si="12"/>
        <v>8843252.8299189955</v>
      </c>
      <c r="H29" s="478">
        <f t="shared" si="13"/>
        <v>8843252.8299189955</v>
      </c>
      <c r="I29" s="501">
        <f t="shared" si="1"/>
        <v>0</v>
      </c>
      <c r="J29" s="501"/>
      <c r="K29" s="513"/>
      <c r="L29" s="505">
        <f t="shared" si="2"/>
        <v>0</v>
      </c>
      <c r="M29" s="513"/>
      <c r="N29" s="505">
        <f t="shared" si="3"/>
        <v>0</v>
      </c>
      <c r="O29" s="505">
        <f t="shared" si="4"/>
        <v>0</v>
      </c>
      <c r="P29" s="279"/>
    </row>
    <row r="30" spans="2:16">
      <c r="B30" s="145" t="str">
        <f t="shared" si="0"/>
        <v/>
      </c>
      <c r="C30" s="496">
        <f>IF(D11="","-",+C29+1)</f>
        <v>2030</v>
      </c>
      <c r="D30" s="509">
        <f>IF(F29+SUM(E$17:E29)=D$10,F29,D$10-SUM(E$17:E29))</f>
        <v>57577467.421811879</v>
      </c>
      <c r="E30" s="510">
        <f t="shared" si="10"/>
        <v>2578808.2058823528</v>
      </c>
      <c r="F30" s="511">
        <f t="shared" si="11"/>
        <v>54998659.215929523</v>
      </c>
      <c r="G30" s="512">
        <f t="shared" si="12"/>
        <v>8568823.4134522416</v>
      </c>
      <c r="H30" s="478">
        <f t="shared" si="13"/>
        <v>8568823.4134522416</v>
      </c>
      <c r="I30" s="501">
        <f t="shared" si="1"/>
        <v>0</v>
      </c>
      <c r="J30" s="501"/>
      <c r="K30" s="513"/>
      <c r="L30" s="505">
        <f t="shared" si="2"/>
        <v>0</v>
      </c>
      <c r="M30" s="513"/>
      <c r="N30" s="505">
        <f t="shared" si="3"/>
        <v>0</v>
      </c>
      <c r="O30" s="505">
        <f t="shared" si="4"/>
        <v>0</v>
      </c>
      <c r="P30" s="279"/>
    </row>
    <row r="31" spans="2:16">
      <c r="B31" s="145" t="str">
        <f t="shared" si="0"/>
        <v/>
      </c>
      <c r="C31" s="496">
        <f>IF(D11="","-",+C30+1)</f>
        <v>2031</v>
      </c>
      <c r="D31" s="509">
        <f>IF(F30+SUM(E$17:E30)=D$10,F30,D$10-SUM(E$17:E30))</f>
        <v>54998659.215929523</v>
      </c>
      <c r="E31" s="510">
        <f t="shared" si="10"/>
        <v>2578808.2058823528</v>
      </c>
      <c r="F31" s="511">
        <f t="shared" si="11"/>
        <v>52419851.010047168</v>
      </c>
      <c r="G31" s="512">
        <f t="shared" si="12"/>
        <v>8294393.9969854886</v>
      </c>
      <c r="H31" s="478">
        <f t="shared" si="13"/>
        <v>8294393.9969854886</v>
      </c>
      <c r="I31" s="501">
        <f t="shared" si="1"/>
        <v>0</v>
      </c>
      <c r="J31" s="501"/>
      <c r="K31" s="513"/>
      <c r="L31" s="505">
        <f t="shared" si="2"/>
        <v>0</v>
      </c>
      <c r="M31" s="513"/>
      <c r="N31" s="505">
        <f t="shared" si="3"/>
        <v>0</v>
      </c>
      <c r="O31" s="505">
        <f t="shared" si="4"/>
        <v>0</v>
      </c>
      <c r="P31" s="279"/>
    </row>
    <row r="32" spans="2:16">
      <c r="B32" s="145" t="str">
        <f t="shared" si="0"/>
        <v/>
      </c>
      <c r="C32" s="496">
        <f>IF(D11="","-",+C31+1)</f>
        <v>2032</v>
      </c>
      <c r="D32" s="509">
        <f>IF(F31+SUM(E$17:E31)=D$10,F31,D$10-SUM(E$17:E31))</f>
        <v>52419851.010047168</v>
      </c>
      <c r="E32" s="510">
        <f t="shared" si="10"/>
        <v>2578808.2058823528</v>
      </c>
      <c r="F32" s="511">
        <f t="shared" si="11"/>
        <v>49841042.804164812</v>
      </c>
      <c r="G32" s="512">
        <f t="shared" si="12"/>
        <v>8019964.5805187356</v>
      </c>
      <c r="H32" s="478">
        <f t="shared" si="13"/>
        <v>8019964.5805187356</v>
      </c>
      <c r="I32" s="501">
        <f t="shared" si="1"/>
        <v>0</v>
      </c>
      <c r="J32" s="501"/>
      <c r="K32" s="513"/>
      <c r="L32" s="505">
        <f t="shared" si="2"/>
        <v>0</v>
      </c>
      <c r="M32" s="513"/>
      <c r="N32" s="505">
        <f t="shared" si="3"/>
        <v>0</v>
      </c>
      <c r="O32" s="505">
        <f t="shared" si="4"/>
        <v>0</v>
      </c>
      <c r="P32" s="279"/>
    </row>
    <row r="33" spans="2:16">
      <c r="B33" s="145" t="str">
        <f t="shared" si="0"/>
        <v/>
      </c>
      <c r="C33" s="496">
        <f>IF(D11="","-",+C32+1)</f>
        <v>2033</v>
      </c>
      <c r="D33" s="509">
        <f>IF(F32+SUM(E$17:E32)=D$10,F32,D$10-SUM(E$17:E32))</f>
        <v>49841042.804164812</v>
      </c>
      <c r="E33" s="510">
        <f t="shared" si="10"/>
        <v>2578808.2058823528</v>
      </c>
      <c r="F33" s="511">
        <f t="shared" si="11"/>
        <v>47262234.598282456</v>
      </c>
      <c r="G33" s="512">
        <f t="shared" si="12"/>
        <v>7745535.1640519826</v>
      </c>
      <c r="H33" s="478">
        <f t="shared" si="13"/>
        <v>7745535.1640519826</v>
      </c>
      <c r="I33" s="501">
        <f t="shared" si="1"/>
        <v>0</v>
      </c>
      <c r="J33" s="501"/>
      <c r="K33" s="513"/>
      <c r="L33" s="505">
        <f t="shared" si="2"/>
        <v>0</v>
      </c>
      <c r="M33" s="513"/>
      <c r="N33" s="505">
        <f t="shared" si="3"/>
        <v>0</v>
      </c>
      <c r="O33" s="505">
        <f t="shared" si="4"/>
        <v>0</v>
      </c>
      <c r="P33" s="279"/>
    </row>
    <row r="34" spans="2:16">
      <c r="B34" s="145" t="str">
        <f t="shared" si="0"/>
        <v/>
      </c>
      <c r="C34" s="496">
        <f>IF(D11="","-",+C33+1)</f>
        <v>2034</v>
      </c>
      <c r="D34" s="509">
        <f>IF(F33+SUM(E$17:E33)=D$10,F33,D$10-SUM(E$17:E33))</f>
        <v>47262234.598282456</v>
      </c>
      <c r="E34" s="510">
        <f t="shared" si="10"/>
        <v>2578808.2058823528</v>
      </c>
      <c r="F34" s="511">
        <f t="shared" si="11"/>
        <v>44683426.392400101</v>
      </c>
      <c r="G34" s="512">
        <f t="shared" si="12"/>
        <v>7471105.7475852296</v>
      </c>
      <c r="H34" s="478">
        <f t="shared" si="13"/>
        <v>7471105.7475852296</v>
      </c>
      <c r="I34" s="501">
        <f t="shared" si="1"/>
        <v>0</v>
      </c>
      <c r="J34" s="501"/>
      <c r="K34" s="513"/>
      <c r="L34" s="505">
        <f t="shared" si="2"/>
        <v>0</v>
      </c>
      <c r="M34" s="513"/>
      <c r="N34" s="505">
        <f t="shared" si="3"/>
        <v>0</v>
      </c>
      <c r="O34" s="505">
        <f t="shared" si="4"/>
        <v>0</v>
      </c>
      <c r="P34" s="279"/>
    </row>
    <row r="35" spans="2:16">
      <c r="B35" s="145" t="str">
        <f t="shared" si="0"/>
        <v/>
      </c>
      <c r="C35" s="496">
        <f>IF(D11="","-",+C34+1)</f>
        <v>2035</v>
      </c>
      <c r="D35" s="509">
        <f>IF(F34+SUM(E$17:E34)=D$10,F34,D$10-SUM(E$17:E34))</f>
        <v>44683426.392400101</v>
      </c>
      <c r="E35" s="510">
        <f t="shared" si="10"/>
        <v>2578808.2058823528</v>
      </c>
      <c r="F35" s="511">
        <f t="shared" si="11"/>
        <v>42104618.186517745</v>
      </c>
      <c r="G35" s="512">
        <f t="shared" si="12"/>
        <v>7196676.3311184766</v>
      </c>
      <c r="H35" s="478">
        <f t="shared" si="13"/>
        <v>7196676.3311184766</v>
      </c>
      <c r="I35" s="501">
        <f t="shared" si="1"/>
        <v>0</v>
      </c>
      <c r="J35" s="501"/>
      <c r="K35" s="513"/>
      <c r="L35" s="505">
        <f t="shared" si="2"/>
        <v>0</v>
      </c>
      <c r="M35" s="513"/>
      <c r="N35" s="505">
        <f t="shared" si="3"/>
        <v>0</v>
      </c>
      <c r="O35" s="505">
        <f t="shared" si="4"/>
        <v>0</v>
      </c>
      <c r="P35" s="279"/>
    </row>
    <row r="36" spans="2:16">
      <c r="B36" s="145" t="str">
        <f t="shared" si="0"/>
        <v/>
      </c>
      <c r="C36" s="496">
        <f>IF(D11="","-",+C35+1)</f>
        <v>2036</v>
      </c>
      <c r="D36" s="509">
        <f>IF(F35+SUM(E$17:E35)=D$10,F35,D$10-SUM(E$17:E35))</f>
        <v>42104618.186517745</v>
      </c>
      <c r="E36" s="510">
        <f t="shared" si="10"/>
        <v>2578808.2058823528</v>
      </c>
      <c r="F36" s="511">
        <f t="shared" si="11"/>
        <v>39525809.98063539</v>
      </c>
      <c r="G36" s="512">
        <f t="shared" si="12"/>
        <v>6922246.9146517236</v>
      </c>
      <c r="H36" s="478">
        <f t="shared" si="13"/>
        <v>6922246.9146517236</v>
      </c>
      <c r="I36" s="501">
        <f t="shared" si="1"/>
        <v>0</v>
      </c>
      <c r="J36" s="501"/>
      <c r="K36" s="513"/>
      <c r="L36" s="505">
        <f t="shared" si="2"/>
        <v>0</v>
      </c>
      <c r="M36" s="513"/>
      <c r="N36" s="505">
        <f t="shared" si="3"/>
        <v>0</v>
      </c>
      <c r="O36" s="505">
        <f t="shared" si="4"/>
        <v>0</v>
      </c>
      <c r="P36" s="279"/>
    </row>
    <row r="37" spans="2:16">
      <c r="B37" s="145" t="str">
        <f t="shared" si="0"/>
        <v/>
      </c>
      <c r="C37" s="496">
        <f>IF(D11="","-",+C36+1)</f>
        <v>2037</v>
      </c>
      <c r="D37" s="509">
        <f>IF(F36+SUM(E$17:E36)=D$10,F36,D$10-SUM(E$17:E36))</f>
        <v>39525809.98063539</v>
      </c>
      <c r="E37" s="510">
        <f t="shared" si="10"/>
        <v>2578808.2058823528</v>
      </c>
      <c r="F37" s="511">
        <f t="shared" si="11"/>
        <v>36947001.774753034</v>
      </c>
      <c r="G37" s="512">
        <f t="shared" si="12"/>
        <v>6647817.4981849706</v>
      </c>
      <c r="H37" s="478">
        <f t="shared" si="13"/>
        <v>6647817.4981849706</v>
      </c>
      <c r="I37" s="501">
        <f t="shared" si="1"/>
        <v>0</v>
      </c>
      <c r="J37" s="501"/>
      <c r="K37" s="513"/>
      <c r="L37" s="505">
        <f t="shared" si="2"/>
        <v>0</v>
      </c>
      <c r="M37" s="513"/>
      <c r="N37" s="505">
        <f t="shared" si="3"/>
        <v>0</v>
      </c>
      <c r="O37" s="505">
        <f t="shared" si="4"/>
        <v>0</v>
      </c>
      <c r="P37" s="279"/>
    </row>
    <row r="38" spans="2:16">
      <c r="B38" s="145" t="str">
        <f t="shared" si="0"/>
        <v/>
      </c>
      <c r="C38" s="496">
        <f>IF(D11="","-",+C37+1)</f>
        <v>2038</v>
      </c>
      <c r="D38" s="509">
        <f>IF(F37+SUM(E$17:E37)=D$10,F37,D$10-SUM(E$17:E37))</f>
        <v>36947001.774753034</v>
      </c>
      <c r="E38" s="510">
        <f t="shared" si="10"/>
        <v>2578808.2058823528</v>
      </c>
      <c r="F38" s="511">
        <f t="shared" si="11"/>
        <v>34368193.568870679</v>
      </c>
      <c r="G38" s="512">
        <f t="shared" si="12"/>
        <v>6373388.0817182176</v>
      </c>
      <c r="H38" s="478">
        <f t="shared" si="13"/>
        <v>6373388.0817182176</v>
      </c>
      <c r="I38" s="501">
        <f t="shared" si="1"/>
        <v>0</v>
      </c>
      <c r="J38" s="501"/>
      <c r="K38" s="513"/>
      <c r="L38" s="505">
        <f t="shared" si="2"/>
        <v>0</v>
      </c>
      <c r="M38" s="513"/>
      <c r="N38" s="505">
        <f t="shared" si="3"/>
        <v>0</v>
      </c>
      <c r="O38" s="505">
        <f t="shared" si="4"/>
        <v>0</v>
      </c>
      <c r="P38" s="279"/>
    </row>
    <row r="39" spans="2:16">
      <c r="B39" s="145" t="str">
        <f t="shared" si="0"/>
        <v/>
      </c>
      <c r="C39" s="496">
        <f>IF(D11="","-",+C38+1)</f>
        <v>2039</v>
      </c>
      <c r="D39" s="509">
        <f>IF(F38+SUM(E$17:E38)=D$10,F38,D$10-SUM(E$17:E38))</f>
        <v>34368193.568870679</v>
      </c>
      <c r="E39" s="510">
        <f t="shared" si="10"/>
        <v>2578808.2058823528</v>
      </c>
      <c r="F39" s="511">
        <f t="shared" si="11"/>
        <v>31789385.362988327</v>
      </c>
      <c r="G39" s="512">
        <f t="shared" si="12"/>
        <v>6098958.6652514646</v>
      </c>
      <c r="H39" s="478">
        <f t="shared" si="13"/>
        <v>6098958.6652514646</v>
      </c>
      <c r="I39" s="501">
        <f t="shared" si="1"/>
        <v>0</v>
      </c>
      <c r="J39" s="501"/>
      <c r="K39" s="513"/>
      <c r="L39" s="505">
        <f t="shared" si="2"/>
        <v>0</v>
      </c>
      <c r="M39" s="513"/>
      <c r="N39" s="505">
        <f t="shared" si="3"/>
        <v>0</v>
      </c>
      <c r="O39" s="505">
        <f t="shared" si="4"/>
        <v>0</v>
      </c>
      <c r="P39" s="279"/>
    </row>
    <row r="40" spans="2:16">
      <c r="B40" s="145" t="str">
        <f t="shared" si="0"/>
        <v/>
      </c>
      <c r="C40" s="496">
        <f>IF(D11="","-",+C39+1)</f>
        <v>2040</v>
      </c>
      <c r="D40" s="509">
        <f>IF(F39+SUM(E$17:E39)=D$10,F39,D$10-SUM(E$17:E39))</f>
        <v>31789385.362988327</v>
      </c>
      <c r="E40" s="510">
        <f t="shared" si="10"/>
        <v>2578808.2058823528</v>
      </c>
      <c r="F40" s="511">
        <f t="shared" si="11"/>
        <v>29210577.157105975</v>
      </c>
      <c r="G40" s="512">
        <f t="shared" si="12"/>
        <v>5824529.2487847116</v>
      </c>
      <c r="H40" s="478">
        <f t="shared" si="13"/>
        <v>5824529.2487847116</v>
      </c>
      <c r="I40" s="501">
        <f t="shared" si="1"/>
        <v>0</v>
      </c>
      <c r="J40" s="501"/>
      <c r="K40" s="513"/>
      <c r="L40" s="505">
        <f t="shared" si="2"/>
        <v>0</v>
      </c>
      <c r="M40" s="513"/>
      <c r="N40" s="505">
        <f t="shared" si="3"/>
        <v>0</v>
      </c>
      <c r="O40" s="505">
        <f t="shared" si="4"/>
        <v>0</v>
      </c>
      <c r="P40" s="279"/>
    </row>
    <row r="41" spans="2:16">
      <c r="B41" s="145" t="str">
        <f t="shared" si="0"/>
        <v/>
      </c>
      <c r="C41" s="496">
        <f>IF(D11="","-",+C40+1)</f>
        <v>2041</v>
      </c>
      <c r="D41" s="509">
        <f>IF(F40+SUM(E$17:E40)=D$10,F40,D$10-SUM(E$17:E40))</f>
        <v>29210577.157105975</v>
      </c>
      <c r="E41" s="510">
        <f t="shared" si="10"/>
        <v>2578808.2058823528</v>
      </c>
      <c r="F41" s="511">
        <f t="shared" si="11"/>
        <v>26631768.951223623</v>
      </c>
      <c r="G41" s="512">
        <f t="shared" si="12"/>
        <v>5550099.8323179595</v>
      </c>
      <c r="H41" s="478">
        <f t="shared" si="13"/>
        <v>5550099.8323179595</v>
      </c>
      <c r="I41" s="501">
        <f t="shared" si="1"/>
        <v>0</v>
      </c>
      <c r="J41" s="501"/>
      <c r="K41" s="513"/>
      <c r="L41" s="505">
        <f t="shared" si="2"/>
        <v>0</v>
      </c>
      <c r="M41" s="513"/>
      <c r="N41" s="505">
        <f t="shared" si="3"/>
        <v>0</v>
      </c>
      <c r="O41" s="505">
        <f t="shared" si="4"/>
        <v>0</v>
      </c>
      <c r="P41" s="279"/>
    </row>
    <row r="42" spans="2:16">
      <c r="B42" s="145" t="str">
        <f t="shared" si="0"/>
        <v/>
      </c>
      <c r="C42" s="496">
        <f>IF(D11="","-",+C41+1)</f>
        <v>2042</v>
      </c>
      <c r="D42" s="509">
        <f>IF(F41+SUM(E$17:E41)=D$10,F41,D$10-SUM(E$17:E41))</f>
        <v>26631768.951223623</v>
      </c>
      <c r="E42" s="510">
        <f t="shared" si="10"/>
        <v>2578808.2058823528</v>
      </c>
      <c r="F42" s="511">
        <f t="shared" si="11"/>
        <v>24052960.745341271</v>
      </c>
      <c r="G42" s="512">
        <f t="shared" si="12"/>
        <v>5275670.4158512075</v>
      </c>
      <c r="H42" s="478">
        <f t="shared" si="13"/>
        <v>5275670.4158512075</v>
      </c>
      <c r="I42" s="501">
        <f t="shared" si="1"/>
        <v>0</v>
      </c>
      <c r="J42" s="501"/>
      <c r="K42" s="513"/>
      <c r="L42" s="505">
        <f t="shared" si="2"/>
        <v>0</v>
      </c>
      <c r="M42" s="513"/>
      <c r="N42" s="505">
        <f t="shared" si="3"/>
        <v>0</v>
      </c>
      <c r="O42" s="505">
        <f t="shared" si="4"/>
        <v>0</v>
      </c>
      <c r="P42" s="279"/>
    </row>
    <row r="43" spans="2:16">
      <c r="B43" s="145" t="str">
        <f t="shared" si="0"/>
        <v/>
      </c>
      <c r="C43" s="496">
        <f>IF(D11="","-",+C42+1)</f>
        <v>2043</v>
      </c>
      <c r="D43" s="509">
        <f>IF(F42+SUM(E$17:E42)=D$10,F42,D$10-SUM(E$17:E42))</f>
        <v>24052960.745341271</v>
      </c>
      <c r="E43" s="510">
        <f t="shared" si="10"/>
        <v>2578808.2058823528</v>
      </c>
      <c r="F43" s="511">
        <f t="shared" si="11"/>
        <v>21474152.539458919</v>
      </c>
      <c r="G43" s="512">
        <f t="shared" si="12"/>
        <v>5001240.9993844535</v>
      </c>
      <c r="H43" s="478">
        <f t="shared" si="13"/>
        <v>5001240.9993844535</v>
      </c>
      <c r="I43" s="501">
        <f t="shared" si="1"/>
        <v>0</v>
      </c>
      <c r="J43" s="501"/>
      <c r="K43" s="513"/>
      <c r="L43" s="505">
        <f t="shared" si="2"/>
        <v>0</v>
      </c>
      <c r="M43" s="513"/>
      <c r="N43" s="505">
        <f t="shared" si="3"/>
        <v>0</v>
      </c>
      <c r="O43" s="505">
        <f t="shared" si="4"/>
        <v>0</v>
      </c>
      <c r="P43" s="279"/>
    </row>
    <row r="44" spans="2:16">
      <c r="B44" s="145" t="str">
        <f t="shared" si="0"/>
        <v/>
      </c>
      <c r="C44" s="496">
        <f>IF(D11="","-",+C43+1)</f>
        <v>2044</v>
      </c>
      <c r="D44" s="509">
        <f>IF(F43+SUM(E$17:E43)=D$10,F43,D$10-SUM(E$17:E43))</f>
        <v>21474152.539458919</v>
      </c>
      <c r="E44" s="510">
        <f t="shared" si="10"/>
        <v>2578808.2058823528</v>
      </c>
      <c r="F44" s="511">
        <f t="shared" si="11"/>
        <v>18895344.333576567</v>
      </c>
      <c r="G44" s="512">
        <f t="shared" si="12"/>
        <v>4726811.5829177015</v>
      </c>
      <c r="H44" s="478">
        <f t="shared" si="13"/>
        <v>4726811.5829177015</v>
      </c>
      <c r="I44" s="501">
        <f t="shared" si="1"/>
        <v>0</v>
      </c>
      <c r="J44" s="501"/>
      <c r="K44" s="513"/>
      <c r="L44" s="505">
        <f t="shared" si="2"/>
        <v>0</v>
      </c>
      <c r="M44" s="513"/>
      <c r="N44" s="505">
        <f t="shared" si="3"/>
        <v>0</v>
      </c>
      <c r="O44" s="505">
        <f t="shared" si="4"/>
        <v>0</v>
      </c>
      <c r="P44" s="279"/>
    </row>
    <row r="45" spans="2:16">
      <c r="B45" s="145" t="str">
        <f t="shared" si="0"/>
        <v/>
      </c>
      <c r="C45" s="496">
        <f>IF(D11="","-",+C44+1)</f>
        <v>2045</v>
      </c>
      <c r="D45" s="509">
        <f>IF(F44+SUM(E$17:E44)=D$10,F44,D$10-SUM(E$17:E44))</f>
        <v>18895344.333576567</v>
      </c>
      <c r="E45" s="510">
        <f t="shared" si="10"/>
        <v>2578808.2058823528</v>
      </c>
      <c r="F45" s="511">
        <f t="shared" si="11"/>
        <v>16316536.127694216</v>
      </c>
      <c r="G45" s="512">
        <f t="shared" si="12"/>
        <v>4452382.1664509494</v>
      </c>
      <c r="H45" s="478">
        <f t="shared" si="13"/>
        <v>4452382.1664509494</v>
      </c>
      <c r="I45" s="501">
        <f t="shared" si="1"/>
        <v>0</v>
      </c>
      <c r="J45" s="501"/>
      <c r="K45" s="513"/>
      <c r="L45" s="505">
        <f t="shared" si="2"/>
        <v>0</v>
      </c>
      <c r="M45" s="513"/>
      <c r="N45" s="505">
        <f t="shared" si="3"/>
        <v>0</v>
      </c>
      <c r="O45" s="505">
        <f t="shared" si="4"/>
        <v>0</v>
      </c>
      <c r="P45" s="279"/>
    </row>
    <row r="46" spans="2:16">
      <c r="B46" s="145" t="str">
        <f t="shared" si="0"/>
        <v/>
      </c>
      <c r="C46" s="496">
        <f>IF(D11="","-",+C45+1)</f>
        <v>2046</v>
      </c>
      <c r="D46" s="509">
        <f>IF(F45+SUM(E$17:E45)=D$10,F45,D$10-SUM(E$17:E45))</f>
        <v>16316536.127694216</v>
      </c>
      <c r="E46" s="510">
        <f t="shared" si="10"/>
        <v>2578808.2058823528</v>
      </c>
      <c r="F46" s="511">
        <f t="shared" si="11"/>
        <v>13737727.921811864</v>
      </c>
      <c r="G46" s="512">
        <f t="shared" si="12"/>
        <v>4177952.7499841964</v>
      </c>
      <c r="H46" s="478">
        <f t="shared" si="13"/>
        <v>4177952.7499841964</v>
      </c>
      <c r="I46" s="501">
        <f t="shared" si="1"/>
        <v>0</v>
      </c>
      <c r="J46" s="501"/>
      <c r="K46" s="513"/>
      <c r="L46" s="505">
        <f t="shared" si="2"/>
        <v>0</v>
      </c>
      <c r="M46" s="513"/>
      <c r="N46" s="505">
        <f t="shared" si="3"/>
        <v>0</v>
      </c>
      <c r="O46" s="505">
        <f t="shared" si="4"/>
        <v>0</v>
      </c>
      <c r="P46" s="279"/>
    </row>
    <row r="47" spans="2:16">
      <c r="B47" s="145" t="str">
        <f t="shared" si="0"/>
        <v/>
      </c>
      <c r="C47" s="496">
        <f>IF(D11="","-",+C46+1)</f>
        <v>2047</v>
      </c>
      <c r="D47" s="509">
        <f>IF(F46+SUM(E$17:E46)=D$10,F46,D$10-SUM(E$17:E46))</f>
        <v>13737727.921811864</v>
      </c>
      <c r="E47" s="510">
        <f t="shared" si="10"/>
        <v>2578808.2058823528</v>
      </c>
      <c r="F47" s="511">
        <f t="shared" si="11"/>
        <v>11158919.715929512</v>
      </c>
      <c r="G47" s="512">
        <f t="shared" si="12"/>
        <v>3903523.3335174439</v>
      </c>
      <c r="H47" s="478">
        <f t="shared" si="13"/>
        <v>3903523.3335174439</v>
      </c>
      <c r="I47" s="501">
        <f t="shared" si="1"/>
        <v>0</v>
      </c>
      <c r="J47" s="501"/>
      <c r="K47" s="513"/>
      <c r="L47" s="505">
        <f t="shared" si="2"/>
        <v>0</v>
      </c>
      <c r="M47" s="513"/>
      <c r="N47" s="505">
        <f t="shared" si="3"/>
        <v>0</v>
      </c>
      <c r="O47" s="505">
        <f t="shared" si="4"/>
        <v>0</v>
      </c>
      <c r="P47" s="279"/>
    </row>
    <row r="48" spans="2:16">
      <c r="B48" s="145" t="str">
        <f t="shared" si="0"/>
        <v/>
      </c>
      <c r="C48" s="496">
        <f>IF(D11="","-",+C47+1)</f>
        <v>2048</v>
      </c>
      <c r="D48" s="509">
        <f>IF(F47+SUM(E$17:E47)=D$10,F47,D$10-SUM(E$17:E47))</f>
        <v>11158919.715929512</v>
      </c>
      <c r="E48" s="510">
        <f t="shared" si="10"/>
        <v>2578808.2058823528</v>
      </c>
      <c r="F48" s="511">
        <f t="shared" si="11"/>
        <v>8580111.5100471601</v>
      </c>
      <c r="G48" s="512">
        <f t="shared" si="12"/>
        <v>3629093.9170506913</v>
      </c>
      <c r="H48" s="478">
        <f t="shared" si="13"/>
        <v>3629093.9170506913</v>
      </c>
      <c r="I48" s="501">
        <f t="shared" si="1"/>
        <v>0</v>
      </c>
      <c r="J48" s="501"/>
      <c r="K48" s="513"/>
      <c r="L48" s="505">
        <f t="shared" si="2"/>
        <v>0</v>
      </c>
      <c r="M48" s="513"/>
      <c r="N48" s="505">
        <f t="shared" si="3"/>
        <v>0</v>
      </c>
      <c r="O48" s="505">
        <f t="shared" si="4"/>
        <v>0</v>
      </c>
      <c r="P48" s="279"/>
    </row>
    <row r="49" spans="2:16">
      <c r="B49" s="145" t="str">
        <f t="shared" si="0"/>
        <v/>
      </c>
      <c r="C49" s="496">
        <f>IF(D11="","-",+C48+1)</f>
        <v>2049</v>
      </c>
      <c r="D49" s="509">
        <f>IF(F48+SUM(E$17:E48)=D$10,F48,D$10-SUM(E$17:E48))</f>
        <v>8580111.5100471601</v>
      </c>
      <c r="E49" s="510">
        <f t="shared" si="10"/>
        <v>2578808.2058823528</v>
      </c>
      <c r="F49" s="511">
        <f t="shared" si="11"/>
        <v>6001303.3041648073</v>
      </c>
      <c r="G49" s="512">
        <f t="shared" si="12"/>
        <v>3354664.5005839388</v>
      </c>
      <c r="H49" s="478">
        <f t="shared" si="13"/>
        <v>3354664.5005839388</v>
      </c>
      <c r="I49" s="501">
        <f t="shared" si="1"/>
        <v>0</v>
      </c>
      <c r="J49" s="501"/>
      <c r="K49" s="513"/>
      <c r="L49" s="505">
        <f t="shared" si="2"/>
        <v>0</v>
      </c>
      <c r="M49" s="513"/>
      <c r="N49" s="505">
        <f t="shared" si="3"/>
        <v>0</v>
      </c>
      <c r="O49" s="505">
        <f t="shared" si="4"/>
        <v>0</v>
      </c>
      <c r="P49" s="279"/>
    </row>
    <row r="50" spans="2:16">
      <c r="B50" s="145" t="str">
        <f t="shared" si="0"/>
        <v/>
      </c>
      <c r="C50" s="496">
        <f>IF(D11="","-",+C49+1)</f>
        <v>2050</v>
      </c>
      <c r="D50" s="509">
        <f>IF(F49+SUM(E$17:E49)=D$10,F49,D$10-SUM(E$17:E49))</f>
        <v>6001303.3041648073</v>
      </c>
      <c r="E50" s="510">
        <f t="shared" ref="E50:E71" si="14">IF(+I$14&lt;F49,I$14,D50)</f>
        <v>2578808.2058823528</v>
      </c>
      <c r="F50" s="511">
        <f t="shared" si="11"/>
        <v>3422495.0982824545</v>
      </c>
      <c r="G50" s="512">
        <f t="shared" si="12"/>
        <v>3080235.0841171858</v>
      </c>
      <c r="H50" s="478">
        <f t="shared" si="13"/>
        <v>3080235.0841171858</v>
      </c>
      <c r="I50" s="501">
        <f t="shared" si="1"/>
        <v>0</v>
      </c>
      <c r="J50" s="501"/>
      <c r="K50" s="513"/>
      <c r="L50" s="505">
        <f t="shared" si="2"/>
        <v>0</v>
      </c>
      <c r="M50" s="513"/>
      <c r="N50" s="505">
        <f t="shared" si="3"/>
        <v>0</v>
      </c>
      <c r="O50" s="505">
        <f t="shared" si="4"/>
        <v>0</v>
      </c>
      <c r="P50" s="279"/>
    </row>
    <row r="51" spans="2:16">
      <c r="B51" s="145" t="str">
        <f t="shared" si="0"/>
        <v/>
      </c>
      <c r="C51" s="496">
        <f>IF(D11="","-",+C50+1)</f>
        <v>2051</v>
      </c>
      <c r="D51" s="509">
        <f>IF(F50+SUM(E$17:E50)=D$10,F50,D$10-SUM(E$17:E50))</f>
        <v>3422495.0982824545</v>
      </c>
      <c r="E51" s="510">
        <f t="shared" si="14"/>
        <v>2578808.2058823528</v>
      </c>
      <c r="F51" s="511">
        <f t="shared" si="11"/>
        <v>843686.89240010176</v>
      </c>
      <c r="G51" s="512">
        <f t="shared" si="12"/>
        <v>2805805.6676504333</v>
      </c>
      <c r="H51" s="478">
        <f t="shared" si="13"/>
        <v>2805805.6676504333</v>
      </c>
      <c r="I51" s="501">
        <f t="shared" si="1"/>
        <v>0</v>
      </c>
      <c r="J51" s="501"/>
      <c r="K51" s="513"/>
      <c r="L51" s="505">
        <f t="shared" si="2"/>
        <v>0</v>
      </c>
      <c r="M51" s="513"/>
      <c r="N51" s="505">
        <f t="shared" si="3"/>
        <v>0</v>
      </c>
      <c r="O51" s="505">
        <f t="shared" si="4"/>
        <v>0</v>
      </c>
      <c r="P51" s="279"/>
    </row>
    <row r="52" spans="2:16">
      <c r="B52" s="145" t="str">
        <f t="shared" si="0"/>
        <v/>
      </c>
      <c r="C52" s="496">
        <f>IF(D11="","-",+C51+1)</f>
        <v>2052</v>
      </c>
      <c r="D52" s="509">
        <f>IF(F51+SUM(E$17:E51)=D$10,F51,D$10-SUM(E$17:E51))</f>
        <v>843686.89240010176</v>
      </c>
      <c r="E52" s="510">
        <f t="shared" si="14"/>
        <v>843686.89240010176</v>
      </c>
      <c r="F52" s="511">
        <f t="shared" si="11"/>
        <v>0</v>
      </c>
      <c r="G52" s="512">
        <f t="shared" si="12"/>
        <v>888578.26916745387</v>
      </c>
      <c r="H52" s="478">
        <f t="shared" si="13"/>
        <v>888578.26916745387</v>
      </c>
      <c r="I52" s="501">
        <f t="shared" si="1"/>
        <v>0</v>
      </c>
      <c r="J52" s="501"/>
      <c r="K52" s="513"/>
      <c r="L52" s="505">
        <f t="shared" si="2"/>
        <v>0</v>
      </c>
      <c r="M52" s="513"/>
      <c r="N52" s="505">
        <f t="shared" si="3"/>
        <v>0</v>
      </c>
      <c r="O52" s="505">
        <f t="shared" si="4"/>
        <v>0</v>
      </c>
      <c r="P52" s="279"/>
    </row>
    <row r="53" spans="2:16">
      <c r="B53" s="145" t="str">
        <f t="shared" si="0"/>
        <v/>
      </c>
      <c r="C53" s="496">
        <f>IF(D11="","-",+C52+1)</f>
        <v>2053</v>
      </c>
      <c r="D53" s="509">
        <f>IF(F52+SUM(E$17:E52)=D$10,F52,D$10-SUM(E$17:E52))</f>
        <v>0</v>
      </c>
      <c r="E53" s="510">
        <f t="shared" si="14"/>
        <v>0</v>
      </c>
      <c r="F53" s="511">
        <f t="shared" si="11"/>
        <v>0</v>
      </c>
      <c r="G53" s="512">
        <f t="shared" si="12"/>
        <v>0</v>
      </c>
      <c r="H53" s="478">
        <f t="shared" si="13"/>
        <v>0</v>
      </c>
      <c r="I53" s="501">
        <f t="shared" si="1"/>
        <v>0</v>
      </c>
      <c r="J53" s="501"/>
      <c r="K53" s="513"/>
      <c r="L53" s="505">
        <f t="shared" si="2"/>
        <v>0</v>
      </c>
      <c r="M53" s="513"/>
      <c r="N53" s="505">
        <f t="shared" si="3"/>
        <v>0</v>
      </c>
      <c r="O53" s="505">
        <f t="shared" si="4"/>
        <v>0</v>
      </c>
      <c r="P53" s="279"/>
    </row>
    <row r="54" spans="2:16">
      <c r="B54" s="145" t="str">
        <f t="shared" si="0"/>
        <v/>
      </c>
      <c r="C54" s="496">
        <f>IF(D11="","-",+C53+1)</f>
        <v>2054</v>
      </c>
      <c r="D54" s="509">
        <f>IF(F53+SUM(E$17:E53)=D$10,F53,D$10-SUM(E$17:E53))</f>
        <v>0</v>
      </c>
      <c r="E54" s="510">
        <f t="shared" si="14"/>
        <v>0</v>
      </c>
      <c r="F54" s="511">
        <f t="shared" si="11"/>
        <v>0</v>
      </c>
      <c r="G54" s="512">
        <f t="shared" si="12"/>
        <v>0</v>
      </c>
      <c r="H54" s="478">
        <f t="shared" si="13"/>
        <v>0</v>
      </c>
      <c r="I54" s="501">
        <f t="shared" si="1"/>
        <v>0</v>
      </c>
      <c r="J54" s="501"/>
      <c r="K54" s="513"/>
      <c r="L54" s="505">
        <f t="shared" si="2"/>
        <v>0</v>
      </c>
      <c r="M54" s="513"/>
      <c r="N54" s="505">
        <f t="shared" si="3"/>
        <v>0</v>
      </c>
      <c r="O54" s="505">
        <f t="shared" si="4"/>
        <v>0</v>
      </c>
      <c r="P54" s="279"/>
    </row>
    <row r="55" spans="2:16">
      <c r="B55" s="145" t="str">
        <f t="shared" si="0"/>
        <v/>
      </c>
      <c r="C55" s="496">
        <f>IF(D11="","-",+C54+1)</f>
        <v>2055</v>
      </c>
      <c r="D55" s="509">
        <f>IF(F54+SUM(E$17:E54)=D$10,F54,D$10-SUM(E$17:E54))</f>
        <v>0</v>
      </c>
      <c r="E55" s="510">
        <f t="shared" si="14"/>
        <v>0</v>
      </c>
      <c r="F55" s="511">
        <f t="shared" si="11"/>
        <v>0</v>
      </c>
      <c r="G55" s="512">
        <f t="shared" si="12"/>
        <v>0</v>
      </c>
      <c r="H55" s="478">
        <f t="shared" si="13"/>
        <v>0</v>
      </c>
      <c r="I55" s="501">
        <f t="shared" si="1"/>
        <v>0</v>
      </c>
      <c r="J55" s="501"/>
      <c r="K55" s="513"/>
      <c r="L55" s="505">
        <f t="shared" si="2"/>
        <v>0</v>
      </c>
      <c r="M55" s="513"/>
      <c r="N55" s="505">
        <f t="shared" si="3"/>
        <v>0</v>
      </c>
      <c r="O55" s="505">
        <f t="shared" si="4"/>
        <v>0</v>
      </c>
      <c r="P55" s="279"/>
    </row>
    <row r="56" spans="2:16">
      <c r="B56" s="145" t="str">
        <f t="shared" si="0"/>
        <v/>
      </c>
      <c r="C56" s="496">
        <f>IF(D11="","-",+C55+1)</f>
        <v>2056</v>
      </c>
      <c r="D56" s="509">
        <f>IF(F55+SUM(E$17:E55)=D$10,F55,D$10-SUM(E$17:E55))</f>
        <v>0</v>
      </c>
      <c r="E56" s="510">
        <f t="shared" si="14"/>
        <v>0</v>
      </c>
      <c r="F56" s="511">
        <f t="shared" si="11"/>
        <v>0</v>
      </c>
      <c r="G56" s="512">
        <f t="shared" si="12"/>
        <v>0</v>
      </c>
      <c r="H56" s="478">
        <f t="shared" si="13"/>
        <v>0</v>
      </c>
      <c r="I56" s="501">
        <f t="shared" si="1"/>
        <v>0</v>
      </c>
      <c r="J56" s="501"/>
      <c r="K56" s="513"/>
      <c r="L56" s="505">
        <f t="shared" si="2"/>
        <v>0</v>
      </c>
      <c r="M56" s="513"/>
      <c r="N56" s="505">
        <f t="shared" si="3"/>
        <v>0</v>
      </c>
      <c r="O56" s="505">
        <f t="shared" si="4"/>
        <v>0</v>
      </c>
      <c r="P56" s="279"/>
    </row>
    <row r="57" spans="2:16">
      <c r="B57" s="145" t="str">
        <f t="shared" si="0"/>
        <v/>
      </c>
      <c r="C57" s="496">
        <f>IF(D11="","-",+C56+1)</f>
        <v>2057</v>
      </c>
      <c r="D57" s="509">
        <f>IF(F56+SUM(E$17:E56)=D$10,F56,D$10-SUM(E$17:E56))</f>
        <v>0</v>
      </c>
      <c r="E57" s="510">
        <f t="shared" si="14"/>
        <v>0</v>
      </c>
      <c r="F57" s="511">
        <f t="shared" si="11"/>
        <v>0</v>
      </c>
      <c r="G57" s="512">
        <f t="shared" si="12"/>
        <v>0</v>
      </c>
      <c r="H57" s="478">
        <f t="shared" si="13"/>
        <v>0</v>
      </c>
      <c r="I57" s="501">
        <f t="shared" si="1"/>
        <v>0</v>
      </c>
      <c r="J57" s="501"/>
      <c r="K57" s="513"/>
      <c r="L57" s="505">
        <f t="shared" si="2"/>
        <v>0</v>
      </c>
      <c r="M57" s="513"/>
      <c r="N57" s="505">
        <f t="shared" si="3"/>
        <v>0</v>
      </c>
      <c r="O57" s="505">
        <f t="shared" si="4"/>
        <v>0</v>
      </c>
      <c r="P57" s="279"/>
    </row>
    <row r="58" spans="2:16">
      <c r="B58" s="145" t="str">
        <f t="shared" si="0"/>
        <v/>
      </c>
      <c r="C58" s="496">
        <f>IF(D11="","-",+C57+1)</f>
        <v>2058</v>
      </c>
      <c r="D58" s="509">
        <f>IF(F57+SUM(E$17:E57)=D$10,F57,D$10-SUM(E$17:E57))</f>
        <v>0</v>
      </c>
      <c r="E58" s="510">
        <f t="shared" si="14"/>
        <v>0</v>
      </c>
      <c r="F58" s="511">
        <f t="shared" si="11"/>
        <v>0</v>
      </c>
      <c r="G58" s="512">
        <f t="shared" si="12"/>
        <v>0</v>
      </c>
      <c r="H58" s="478">
        <f t="shared" si="13"/>
        <v>0</v>
      </c>
      <c r="I58" s="501">
        <f t="shared" si="1"/>
        <v>0</v>
      </c>
      <c r="J58" s="501"/>
      <c r="K58" s="513"/>
      <c r="L58" s="505">
        <f t="shared" si="2"/>
        <v>0</v>
      </c>
      <c r="M58" s="513"/>
      <c r="N58" s="505">
        <f t="shared" si="3"/>
        <v>0</v>
      </c>
      <c r="O58" s="505">
        <f t="shared" si="4"/>
        <v>0</v>
      </c>
      <c r="P58" s="279"/>
    </row>
    <row r="59" spans="2:16">
      <c r="B59" s="145" t="str">
        <f t="shared" si="0"/>
        <v/>
      </c>
      <c r="C59" s="496">
        <f>IF(D11="","-",+C58+1)</f>
        <v>2059</v>
      </c>
      <c r="D59" s="509">
        <f>IF(F58+SUM(E$17:E58)=D$10,F58,D$10-SUM(E$17:E58))</f>
        <v>0</v>
      </c>
      <c r="E59" s="510">
        <f t="shared" si="14"/>
        <v>0</v>
      </c>
      <c r="F59" s="511">
        <f t="shared" si="11"/>
        <v>0</v>
      </c>
      <c r="G59" s="512">
        <f t="shared" si="12"/>
        <v>0</v>
      </c>
      <c r="H59" s="478">
        <f t="shared" si="13"/>
        <v>0</v>
      </c>
      <c r="I59" s="501">
        <f t="shared" si="1"/>
        <v>0</v>
      </c>
      <c r="J59" s="501"/>
      <c r="K59" s="513"/>
      <c r="L59" s="505">
        <f t="shared" si="2"/>
        <v>0</v>
      </c>
      <c r="M59" s="513"/>
      <c r="N59" s="505">
        <f t="shared" si="3"/>
        <v>0</v>
      </c>
      <c r="O59" s="505">
        <f t="shared" si="4"/>
        <v>0</v>
      </c>
      <c r="P59" s="279"/>
    </row>
    <row r="60" spans="2:16">
      <c r="B60" s="145" t="str">
        <f t="shared" si="0"/>
        <v/>
      </c>
      <c r="C60" s="496">
        <f>IF(D11="","-",+C59+1)</f>
        <v>2060</v>
      </c>
      <c r="D60" s="509">
        <f>IF(F59+SUM(E$17:E59)=D$10,F59,D$10-SUM(E$17:E59))</f>
        <v>0</v>
      </c>
      <c r="E60" s="510">
        <f t="shared" si="14"/>
        <v>0</v>
      </c>
      <c r="F60" s="511">
        <f t="shared" si="11"/>
        <v>0</v>
      </c>
      <c r="G60" s="512">
        <f t="shared" si="12"/>
        <v>0</v>
      </c>
      <c r="H60" s="478">
        <f t="shared" si="13"/>
        <v>0</v>
      </c>
      <c r="I60" s="501">
        <f t="shared" si="1"/>
        <v>0</v>
      </c>
      <c r="J60" s="501"/>
      <c r="K60" s="513"/>
      <c r="L60" s="505">
        <f t="shared" si="2"/>
        <v>0</v>
      </c>
      <c r="M60" s="513"/>
      <c r="N60" s="505">
        <f t="shared" si="3"/>
        <v>0</v>
      </c>
      <c r="O60" s="505">
        <f t="shared" si="4"/>
        <v>0</v>
      </c>
      <c r="P60" s="279"/>
    </row>
    <row r="61" spans="2:16">
      <c r="B61" s="145" t="str">
        <f t="shared" si="0"/>
        <v/>
      </c>
      <c r="C61" s="496">
        <f>IF(D11="","-",+C60+1)</f>
        <v>2061</v>
      </c>
      <c r="D61" s="509">
        <f>IF(F60+SUM(E$17:E60)=D$10,F60,D$10-SUM(E$17:E60))</f>
        <v>0</v>
      </c>
      <c r="E61" s="510">
        <f t="shared" si="14"/>
        <v>0</v>
      </c>
      <c r="F61" s="511">
        <f t="shared" si="11"/>
        <v>0</v>
      </c>
      <c r="G61" s="524">
        <f t="shared" si="12"/>
        <v>0</v>
      </c>
      <c r="H61" s="478">
        <f t="shared" si="13"/>
        <v>0</v>
      </c>
      <c r="I61" s="501">
        <f t="shared" si="1"/>
        <v>0</v>
      </c>
      <c r="J61" s="501"/>
      <c r="K61" s="513"/>
      <c r="L61" s="505">
        <f t="shared" si="2"/>
        <v>0</v>
      </c>
      <c r="M61" s="513"/>
      <c r="N61" s="505">
        <f t="shared" si="3"/>
        <v>0</v>
      </c>
      <c r="O61" s="505">
        <f t="shared" si="4"/>
        <v>0</v>
      </c>
      <c r="P61" s="279"/>
    </row>
    <row r="62" spans="2:16">
      <c r="B62" s="145" t="str">
        <f t="shared" si="0"/>
        <v/>
      </c>
      <c r="C62" s="496">
        <f>IF(D11="","-",+C61+1)</f>
        <v>2062</v>
      </c>
      <c r="D62" s="509">
        <f>IF(F61+SUM(E$17:E61)=D$10,F61,D$10-SUM(E$17:E61))</f>
        <v>0</v>
      </c>
      <c r="E62" s="510">
        <f t="shared" si="14"/>
        <v>0</v>
      </c>
      <c r="F62" s="511">
        <f t="shared" si="11"/>
        <v>0</v>
      </c>
      <c r="G62" s="524">
        <f t="shared" si="12"/>
        <v>0</v>
      </c>
      <c r="H62" s="478">
        <f t="shared" si="13"/>
        <v>0</v>
      </c>
      <c r="I62" s="501">
        <f t="shared" si="1"/>
        <v>0</v>
      </c>
      <c r="J62" s="501"/>
      <c r="K62" s="513"/>
      <c r="L62" s="505">
        <f t="shared" si="2"/>
        <v>0</v>
      </c>
      <c r="M62" s="513"/>
      <c r="N62" s="505">
        <f t="shared" si="3"/>
        <v>0</v>
      </c>
      <c r="O62" s="505">
        <f t="shared" si="4"/>
        <v>0</v>
      </c>
      <c r="P62" s="279"/>
    </row>
    <row r="63" spans="2:16">
      <c r="B63" s="145" t="str">
        <f t="shared" si="0"/>
        <v/>
      </c>
      <c r="C63" s="496">
        <f>IF(D11="","-",+C62+1)</f>
        <v>2063</v>
      </c>
      <c r="D63" s="509">
        <f>IF(F62+SUM(E$17:E62)=D$10,F62,D$10-SUM(E$17:E62))</f>
        <v>0</v>
      </c>
      <c r="E63" s="510">
        <f t="shared" si="14"/>
        <v>0</v>
      </c>
      <c r="F63" s="511">
        <f t="shared" si="11"/>
        <v>0</v>
      </c>
      <c r="G63" s="524">
        <f t="shared" si="12"/>
        <v>0</v>
      </c>
      <c r="H63" s="478">
        <f t="shared" si="13"/>
        <v>0</v>
      </c>
      <c r="I63" s="501">
        <f t="shared" si="1"/>
        <v>0</v>
      </c>
      <c r="J63" s="501"/>
      <c r="K63" s="513"/>
      <c r="L63" s="505">
        <f t="shared" si="2"/>
        <v>0</v>
      </c>
      <c r="M63" s="513"/>
      <c r="N63" s="505">
        <f t="shared" si="3"/>
        <v>0</v>
      </c>
      <c r="O63" s="505">
        <f t="shared" si="4"/>
        <v>0</v>
      </c>
      <c r="P63" s="279"/>
    </row>
    <row r="64" spans="2:16">
      <c r="B64" s="145" t="str">
        <f t="shared" si="0"/>
        <v/>
      </c>
      <c r="C64" s="496">
        <f>IF(D11="","-",+C63+1)</f>
        <v>2064</v>
      </c>
      <c r="D64" s="509">
        <f>IF(F63+SUM(E$17:E63)=D$10,F63,D$10-SUM(E$17:E63))</f>
        <v>0</v>
      </c>
      <c r="E64" s="510">
        <f t="shared" si="14"/>
        <v>0</v>
      </c>
      <c r="F64" s="511">
        <f t="shared" si="11"/>
        <v>0</v>
      </c>
      <c r="G64" s="524">
        <f t="shared" si="12"/>
        <v>0</v>
      </c>
      <c r="H64" s="478">
        <f t="shared" si="13"/>
        <v>0</v>
      </c>
      <c r="I64" s="501">
        <f t="shared" si="1"/>
        <v>0</v>
      </c>
      <c r="J64" s="501"/>
      <c r="K64" s="513"/>
      <c r="L64" s="505">
        <f t="shared" si="2"/>
        <v>0</v>
      </c>
      <c r="M64" s="513"/>
      <c r="N64" s="505">
        <f t="shared" si="3"/>
        <v>0</v>
      </c>
      <c r="O64" s="505">
        <f t="shared" si="4"/>
        <v>0</v>
      </c>
      <c r="P64" s="279"/>
    </row>
    <row r="65" spans="2:16">
      <c r="B65" s="145" t="str">
        <f t="shared" si="0"/>
        <v/>
      </c>
      <c r="C65" s="496">
        <f>IF(D11="","-",+C64+1)</f>
        <v>2065</v>
      </c>
      <c r="D65" s="509">
        <f>IF(F64+SUM(E$17:E64)=D$10,F64,D$10-SUM(E$17:E64))</f>
        <v>0</v>
      </c>
      <c r="E65" s="510">
        <f t="shared" si="14"/>
        <v>0</v>
      </c>
      <c r="F65" s="511">
        <f t="shared" si="11"/>
        <v>0</v>
      </c>
      <c r="G65" s="524">
        <f t="shared" si="12"/>
        <v>0</v>
      </c>
      <c r="H65" s="478">
        <f t="shared" si="13"/>
        <v>0</v>
      </c>
      <c r="I65" s="501">
        <f t="shared" si="1"/>
        <v>0</v>
      </c>
      <c r="J65" s="501"/>
      <c r="K65" s="513"/>
      <c r="L65" s="505">
        <f t="shared" si="2"/>
        <v>0</v>
      </c>
      <c r="M65" s="513"/>
      <c r="N65" s="505">
        <f t="shared" si="3"/>
        <v>0</v>
      </c>
      <c r="O65" s="505">
        <f t="shared" si="4"/>
        <v>0</v>
      </c>
      <c r="P65" s="279"/>
    </row>
    <row r="66" spans="2:16">
      <c r="B66" s="145" t="str">
        <f t="shared" si="0"/>
        <v/>
      </c>
      <c r="C66" s="496">
        <f>IF(D11="","-",+C65+1)</f>
        <v>2066</v>
      </c>
      <c r="D66" s="509">
        <f>IF(F65+SUM(E$17:E65)=D$10,F65,D$10-SUM(E$17:E65))</f>
        <v>0</v>
      </c>
      <c r="E66" s="510">
        <f t="shared" si="14"/>
        <v>0</v>
      </c>
      <c r="F66" s="511">
        <f t="shared" si="11"/>
        <v>0</v>
      </c>
      <c r="G66" s="524">
        <f t="shared" si="12"/>
        <v>0</v>
      </c>
      <c r="H66" s="478">
        <f t="shared" si="13"/>
        <v>0</v>
      </c>
      <c r="I66" s="501">
        <f t="shared" si="1"/>
        <v>0</v>
      </c>
      <c r="J66" s="501"/>
      <c r="K66" s="513"/>
      <c r="L66" s="505">
        <f t="shared" si="2"/>
        <v>0</v>
      </c>
      <c r="M66" s="513"/>
      <c r="N66" s="505">
        <f t="shared" si="3"/>
        <v>0</v>
      </c>
      <c r="O66" s="505">
        <f t="shared" si="4"/>
        <v>0</v>
      </c>
      <c r="P66" s="279"/>
    </row>
    <row r="67" spans="2:16">
      <c r="B67" s="145" t="str">
        <f t="shared" si="0"/>
        <v/>
      </c>
      <c r="C67" s="496">
        <f>IF(D11="","-",+C66+1)</f>
        <v>2067</v>
      </c>
      <c r="D67" s="509">
        <f>IF(F66+SUM(E$17:E66)=D$10,F66,D$10-SUM(E$17:E66))</f>
        <v>0</v>
      </c>
      <c r="E67" s="510">
        <f t="shared" si="14"/>
        <v>0</v>
      </c>
      <c r="F67" s="511">
        <f t="shared" si="11"/>
        <v>0</v>
      </c>
      <c r="G67" s="524">
        <f t="shared" si="12"/>
        <v>0</v>
      </c>
      <c r="H67" s="478">
        <f t="shared" si="13"/>
        <v>0</v>
      </c>
      <c r="I67" s="501">
        <f t="shared" si="1"/>
        <v>0</v>
      </c>
      <c r="J67" s="501"/>
      <c r="K67" s="513"/>
      <c r="L67" s="505">
        <f t="shared" si="2"/>
        <v>0</v>
      </c>
      <c r="M67" s="513"/>
      <c r="N67" s="505">
        <f t="shared" si="3"/>
        <v>0</v>
      </c>
      <c r="O67" s="505">
        <f t="shared" si="4"/>
        <v>0</v>
      </c>
      <c r="P67" s="279"/>
    </row>
    <row r="68" spans="2:16">
      <c r="B68" s="145" t="str">
        <f t="shared" si="0"/>
        <v/>
      </c>
      <c r="C68" s="496">
        <f>IF(D11="","-",+C67+1)</f>
        <v>2068</v>
      </c>
      <c r="D68" s="509">
        <f>IF(F67+SUM(E$17:E67)=D$10,F67,D$10-SUM(E$17:E67))</f>
        <v>0</v>
      </c>
      <c r="E68" s="510">
        <f t="shared" si="14"/>
        <v>0</v>
      </c>
      <c r="F68" s="511">
        <f t="shared" si="11"/>
        <v>0</v>
      </c>
      <c r="G68" s="524">
        <f t="shared" si="12"/>
        <v>0</v>
      </c>
      <c r="H68" s="478">
        <f t="shared" si="13"/>
        <v>0</v>
      </c>
      <c r="I68" s="501">
        <f t="shared" si="1"/>
        <v>0</v>
      </c>
      <c r="J68" s="501"/>
      <c r="K68" s="513"/>
      <c r="L68" s="505">
        <f t="shared" si="2"/>
        <v>0</v>
      </c>
      <c r="M68" s="513"/>
      <c r="N68" s="505">
        <f t="shared" si="3"/>
        <v>0</v>
      </c>
      <c r="O68" s="505">
        <f t="shared" si="4"/>
        <v>0</v>
      </c>
      <c r="P68" s="279"/>
    </row>
    <row r="69" spans="2:16">
      <c r="B69" s="145" t="str">
        <f t="shared" si="0"/>
        <v/>
      </c>
      <c r="C69" s="496">
        <f>IF(D11="","-",+C68+1)</f>
        <v>2069</v>
      </c>
      <c r="D69" s="509">
        <f>IF(F68+SUM(E$17:E68)=D$10,F68,D$10-SUM(E$17:E68))</f>
        <v>0</v>
      </c>
      <c r="E69" s="510">
        <f t="shared" si="14"/>
        <v>0</v>
      </c>
      <c r="F69" s="511">
        <f t="shared" si="11"/>
        <v>0</v>
      </c>
      <c r="G69" s="524">
        <f t="shared" si="12"/>
        <v>0</v>
      </c>
      <c r="H69" s="478">
        <f t="shared" si="13"/>
        <v>0</v>
      </c>
      <c r="I69" s="501">
        <f t="shared" si="1"/>
        <v>0</v>
      </c>
      <c r="J69" s="501"/>
      <c r="K69" s="513"/>
      <c r="L69" s="505">
        <f t="shared" si="2"/>
        <v>0</v>
      </c>
      <c r="M69" s="513"/>
      <c r="N69" s="505">
        <f t="shared" si="3"/>
        <v>0</v>
      </c>
      <c r="O69" s="505">
        <f t="shared" si="4"/>
        <v>0</v>
      </c>
      <c r="P69" s="279"/>
    </row>
    <row r="70" spans="2:16">
      <c r="B70" s="145" t="str">
        <f t="shared" si="0"/>
        <v/>
      </c>
      <c r="C70" s="496">
        <f>IF(D11="","-",+C69+1)</f>
        <v>2070</v>
      </c>
      <c r="D70" s="509">
        <f>IF(F69+SUM(E$17:E69)=D$10,F69,D$10-SUM(E$17:E69))</f>
        <v>0</v>
      </c>
      <c r="E70" s="510">
        <f t="shared" si="14"/>
        <v>0</v>
      </c>
      <c r="F70" s="511">
        <f t="shared" si="11"/>
        <v>0</v>
      </c>
      <c r="G70" s="524">
        <f t="shared" si="12"/>
        <v>0</v>
      </c>
      <c r="H70" s="478">
        <f t="shared" si="13"/>
        <v>0</v>
      </c>
      <c r="I70" s="501">
        <f t="shared" si="1"/>
        <v>0</v>
      </c>
      <c r="J70" s="501"/>
      <c r="K70" s="513"/>
      <c r="L70" s="505">
        <f t="shared" si="2"/>
        <v>0</v>
      </c>
      <c r="M70" s="513"/>
      <c r="N70" s="505">
        <f t="shared" si="3"/>
        <v>0</v>
      </c>
      <c r="O70" s="505">
        <f t="shared" si="4"/>
        <v>0</v>
      </c>
      <c r="P70" s="279"/>
    </row>
    <row r="71" spans="2:16">
      <c r="B71" s="145" t="str">
        <f t="shared" si="0"/>
        <v/>
      </c>
      <c r="C71" s="496">
        <f>IF(D11="","-",+C70+1)</f>
        <v>2071</v>
      </c>
      <c r="D71" s="509">
        <f>IF(F70+SUM(E$17:E70)=D$10,F70,D$10-SUM(E$17:E70))</f>
        <v>0</v>
      </c>
      <c r="E71" s="510">
        <f t="shared" si="14"/>
        <v>0</v>
      </c>
      <c r="F71" s="511">
        <f t="shared" si="11"/>
        <v>0</v>
      </c>
      <c r="G71" s="524">
        <f t="shared" si="12"/>
        <v>0</v>
      </c>
      <c r="H71" s="478">
        <f t="shared" si="13"/>
        <v>0</v>
      </c>
      <c r="I71" s="501">
        <f t="shared" si="1"/>
        <v>0</v>
      </c>
      <c r="J71" s="501"/>
      <c r="K71" s="513"/>
      <c r="L71" s="505">
        <f t="shared" si="2"/>
        <v>0</v>
      </c>
      <c r="M71" s="513"/>
      <c r="N71" s="505">
        <f t="shared" si="3"/>
        <v>0</v>
      </c>
      <c r="O71" s="505">
        <f t="shared" si="4"/>
        <v>0</v>
      </c>
      <c r="P71" s="279"/>
    </row>
    <row r="72" spans="2:16">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87679479.000000015</v>
      </c>
      <c r="F74" s="295"/>
      <c r="G74" s="295">
        <f>SUM(G17:G73)</f>
        <v>254703489.13122377</v>
      </c>
      <c r="H74" s="295">
        <f>SUM(H17:H73)</f>
        <v>254703489.13122377</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17 of 20</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2021</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11380637.767430846</v>
      </c>
      <c r="N88" s="545">
        <f>IF(J93&lt;D11,0,VLOOKUP(J93,C17:O73,11))</f>
        <v>11380637.767430846</v>
      </c>
      <c r="O88" s="546">
        <f>+N88-M88</f>
        <v>0</v>
      </c>
      <c r="P88" s="244"/>
    </row>
    <row r="89" spans="1:16" ht="15.75">
      <c r="C89" s="236"/>
      <c r="D89" s="293"/>
      <c r="E89" s="244"/>
      <c r="F89" s="244"/>
      <c r="G89" s="244"/>
      <c r="H89" s="244"/>
      <c r="I89" s="450"/>
      <c r="J89" s="450"/>
      <c r="K89" s="547"/>
      <c r="L89" s="548" t="s">
        <v>254</v>
      </c>
      <c r="M89" s="549">
        <f>IF(J93&lt;D11,0,VLOOKUP(J93,C100:P155,6))</f>
        <v>12698244.677714044</v>
      </c>
      <c r="N89" s="549">
        <f>IF(J93&lt;D11,0,VLOOKUP(J93,C100:P155,7))</f>
        <v>12698244.677714044</v>
      </c>
      <c r="O89" s="550">
        <f>+N89-M89</f>
        <v>0</v>
      </c>
      <c r="P89" s="244"/>
    </row>
    <row r="90" spans="1:16" ht="13.5" thickBot="1">
      <c r="C90" s="455" t="s">
        <v>82</v>
      </c>
      <c r="D90" s="551" t="str">
        <f>+D7</f>
        <v>Chisholm - Gracemont 345 kv line and station</v>
      </c>
      <c r="E90" s="244"/>
      <c r="F90" s="244"/>
      <c r="G90" s="244"/>
      <c r="H90" s="244"/>
      <c r="I90" s="326"/>
      <c r="J90" s="326"/>
      <c r="K90" s="552"/>
      <c r="L90" s="553" t="s">
        <v>135</v>
      </c>
      <c r="M90" s="554">
        <f>+M89-M88</f>
        <v>1317606.9102831986</v>
      </c>
      <c r="N90" s="554">
        <f>+N89-N88</f>
        <v>1317606.9102831986</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2011150</v>
      </c>
      <c r="E92" s="559"/>
      <c r="F92" s="559"/>
      <c r="G92" s="559"/>
      <c r="H92" s="559"/>
      <c r="I92" s="559"/>
      <c r="J92" s="559"/>
      <c r="K92" s="561"/>
      <c r="P92" s="469"/>
    </row>
    <row r="93" spans="1:16">
      <c r="C93" s="473" t="s">
        <v>49</v>
      </c>
      <c r="D93" s="471">
        <v>87679479</v>
      </c>
      <c r="E93" s="249" t="s">
        <v>84</v>
      </c>
      <c r="H93" s="409"/>
      <c r="I93" s="409"/>
      <c r="J93" s="472">
        <f>+'OKT.WS.G.BPU.ATRR.True-up'!M16</f>
        <v>2021</v>
      </c>
      <c r="K93" s="468"/>
      <c r="L93" s="295" t="s">
        <v>85</v>
      </c>
      <c r="P93" s="279"/>
    </row>
    <row r="94" spans="1:16">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471">
        <f>IF(D11=I10,"",D12)</f>
        <v>12</v>
      </c>
      <c r="E95" s="473" t="s">
        <v>55</v>
      </c>
      <c r="F95" s="409"/>
      <c r="G95" s="409"/>
      <c r="J95" s="477">
        <f>'OKT.WS.G.BPU.ATRR.True-up'!$F$81</f>
        <v>0.11796201313639214</v>
      </c>
      <c r="K95" s="414"/>
      <c r="L95" s="145" t="s">
        <v>86</v>
      </c>
      <c r="P95" s="279"/>
    </row>
    <row r="96" spans="1:16">
      <c r="C96" s="473" t="s">
        <v>57</v>
      </c>
      <c r="D96" s="475">
        <f>'OKT.WS.G.BPU.ATRR.True-up'!F$93</f>
        <v>25</v>
      </c>
      <c r="E96" s="473" t="s">
        <v>58</v>
      </c>
      <c r="F96" s="409"/>
      <c r="G96" s="409"/>
      <c r="J96" s="477">
        <f>IF(H88="",J95,'OKT.WS.G.BPU.ATRR.True-up'!$F$80)</f>
        <v>0.11796201313639214</v>
      </c>
      <c r="K96" s="292"/>
      <c r="L96" s="295" t="s">
        <v>59</v>
      </c>
      <c r="M96" s="292"/>
      <c r="N96" s="292"/>
      <c r="O96" s="292"/>
      <c r="P96" s="279"/>
    </row>
    <row r="97" spans="1:16" ht="13.5" thickBot="1">
      <c r="C97" s="473" t="s">
        <v>60</v>
      </c>
      <c r="D97" s="638" t="str">
        <f>+D14</f>
        <v>No</v>
      </c>
      <c r="E97" s="564" t="s">
        <v>62</v>
      </c>
      <c r="F97" s="565"/>
      <c r="G97" s="565"/>
      <c r="H97" s="566"/>
      <c r="I97" s="566"/>
      <c r="J97" s="459">
        <f>IF(D93=0,0,D93/D96)</f>
        <v>3507179.16</v>
      </c>
      <c r="K97" s="295"/>
      <c r="L97" s="295"/>
      <c r="M97" s="295"/>
      <c r="N97" s="295"/>
      <c r="O97" s="295"/>
      <c r="P97" s="279"/>
    </row>
    <row r="98" spans="1:16"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row>
    <row r="100" spans="1:16">
      <c r="B100" s="145" t="str">
        <f t="shared" ref="B100:B155" si="15">IF(D100=F99,"","IU")</f>
        <v>IU</v>
      </c>
      <c r="C100" s="496">
        <f>IF(D94= "","-",D94)</f>
        <v>2017</v>
      </c>
      <c r="D100" s="497">
        <v>0</v>
      </c>
      <c r="E100" s="499">
        <v>0</v>
      </c>
      <c r="F100" s="506">
        <v>87396515</v>
      </c>
      <c r="G100" s="506">
        <v>43698257.5</v>
      </c>
      <c r="H100" s="499">
        <v>5127372.8083007364</v>
      </c>
      <c r="I100" s="500">
        <v>5127372.8083007364</v>
      </c>
      <c r="J100" s="505">
        <f t="shared" ref="J100:J131" si="16">+I100-H100</f>
        <v>0</v>
      </c>
      <c r="K100" s="505"/>
      <c r="L100" s="507">
        <f>+H100</f>
        <v>5127372.8083007364</v>
      </c>
      <c r="M100" s="505">
        <f t="shared" ref="M100:M131" si="17">IF(L100&lt;&gt;0,+H100-L100,0)</f>
        <v>0</v>
      </c>
      <c r="N100" s="507">
        <f>+I100</f>
        <v>5127372.8083007364</v>
      </c>
      <c r="O100" s="587">
        <f t="shared" ref="O100:O131" si="18">IF(N100&lt;&gt;0,+I100-N100,0)</f>
        <v>0</v>
      </c>
      <c r="P100" s="505">
        <f t="shared" ref="P100:P131" si="19">+O100-M100</f>
        <v>0</v>
      </c>
    </row>
    <row r="101" spans="1:16">
      <c r="B101" s="145" t="str">
        <f t="shared" si="15"/>
        <v/>
      </c>
      <c r="C101" s="496">
        <f>IF(D94="","-",+C100+1)</f>
        <v>2018</v>
      </c>
      <c r="D101" s="497">
        <v>87396515</v>
      </c>
      <c r="E101" s="499">
        <v>2427680.972222222</v>
      </c>
      <c r="F101" s="506">
        <v>84968834.027777776</v>
      </c>
      <c r="G101" s="506">
        <v>86182674.513888896</v>
      </c>
      <c r="H101" s="499">
        <v>11525335.163817437</v>
      </c>
      <c r="I101" s="500">
        <v>11525335.163817437</v>
      </c>
      <c r="J101" s="505">
        <f t="shared" si="16"/>
        <v>0</v>
      </c>
      <c r="K101" s="505"/>
      <c r="L101" s="507">
        <f>H101</f>
        <v>11525335.163817437</v>
      </c>
      <c r="M101" s="505">
        <f>IF(L101&lt;&gt;0,+H101-L101,0)</f>
        <v>0</v>
      </c>
      <c r="N101" s="507">
        <f>I101</f>
        <v>11525335.163817437</v>
      </c>
      <c r="O101" s="505">
        <f>IF(N101&lt;&gt;0,+I101-N101,0)</f>
        <v>0</v>
      </c>
      <c r="P101" s="505">
        <f>+O101-M101</f>
        <v>0</v>
      </c>
    </row>
    <row r="102" spans="1:16">
      <c r="B102" s="145" t="str">
        <f t="shared" si="15"/>
        <v>IU</v>
      </c>
      <c r="C102" s="496">
        <f>IF(D94="","-",+C101+1)</f>
        <v>2019</v>
      </c>
      <c r="D102" s="497">
        <v>85829515.027777776</v>
      </c>
      <c r="E102" s="499">
        <v>2451588.777777778</v>
      </c>
      <c r="F102" s="506">
        <v>83377926.25</v>
      </c>
      <c r="G102" s="506">
        <v>84603720.638888896</v>
      </c>
      <c r="H102" s="499">
        <v>11382564.731313506</v>
      </c>
      <c r="I102" s="500">
        <v>11382564.731313506</v>
      </c>
      <c r="J102" s="505">
        <f t="shared" si="16"/>
        <v>0</v>
      </c>
      <c r="K102" s="505"/>
      <c r="L102" s="507">
        <f>H102</f>
        <v>11382564.731313506</v>
      </c>
      <c r="M102" s="505">
        <f>IF(L102&lt;&gt;0,+H102-L102,0)</f>
        <v>0</v>
      </c>
      <c r="N102" s="507">
        <f>I102</f>
        <v>11382564.731313506</v>
      </c>
      <c r="O102" s="505">
        <f t="shared" si="18"/>
        <v>0</v>
      </c>
      <c r="P102" s="505">
        <f t="shared" si="19"/>
        <v>0</v>
      </c>
    </row>
    <row r="103" spans="1:16">
      <c r="B103" s="145" t="str">
        <f t="shared" si="15"/>
        <v>IU</v>
      </c>
      <c r="C103" s="496">
        <f>IF(D94="","-",+C102+1)</f>
        <v>2020</v>
      </c>
      <c r="D103" s="497">
        <v>82792963.25</v>
      </c>
      <c r="E103" s="499">
        <v>3131151.1785714286</v>
      </c>
      <c r="F103" s="506">
        <v>79661812.071428567</v>
      </c>
      <c r="G103" s="506">
        <v>81227387.660714284</v>
      </c>
      <c r="H103" s="499">
        <v>11774841.711765051</v>
      </c>
      <c r="I103" s="500">
        <v>11774841.711765051</v>
      </c>
      <c r="J103" s="505">
        <f t="shared" si="16"/>
        <v>0</v>
      </c>
      <c r="K103" s="505"/>
      <c r="L103" s="507">
        <f>H103</f>
        <v>11774841.711765051</v>
      </c>
      <c r="M103" s="505">
        <f>IF(L103&lt;&gt;0,+H103-L103,0)</f>
        <v>0</v>
      </c>
      <c r="N103" s="507">
        <f>I103</f>
        <v>11774841.711765051</v>
      </c>
      <c r="O103" s="505">
        <f t="shared" si="18"/>
        <v>0</v>
      </c>
      <c r="P103" s="505">
        <f t="shared" si="19"/>
        <v>0</v>
      </c>
    </row>
    <row r="104" spans="1:16">
      <c r="B104" s="145" t="str">
        <f t="shared" si="15"/>
        <v>IU</v>
      </c>
      <c r="C104" s="496">
        <f>IF(D94="","-",+C103+1)</f>
        <v>2021</v>
      </c>
      <c r="D104" s="350">
        <f>IF(F103+SUM(E$100:E103)=D$93,F103,D$93-SUM(E$100:E103))</f>
        <v>79669058.071428567</v>
      </c>
      <c r="E104" s="510">
        <f t="shared" ref="E104:E132" si="20">IF(+J$97&lt;F103,J$97,D104)</f>
        <v>3507179.16</v>
      </c>
      <c r="F104" s="511">
        <f t="shared" ref="F104:F131" si="21">+D104-E104</f>
        <v>76161878.911428571</v>
      </c>
      <c r="G104" s="511">
        <f t="shared" ref="G104:G131" si="22">+(F104+D104)/2</f>
        <v>77915468.491428569</v>
      </c>
      <c r="H104" s="646">
        <f t="shared" ref="H104:H155" si="23">(D104+F104)/2*J$95+E104</f>
        <v>12698244.677714044</v>
      </c>
      <c r="I104" s="628">
        <f t="shared" ref="I104:I155" si="24">+J$96*G104+E104</f>
        <v>12698244.677714044</v>
      </c>
      <c r="J104" s="505">
        <f t="shared" si="16"/>
        <v>0</v>
      </c>
      <c r="K104" s="505"/>
      <c r="L104" s="513"/>
      <c r="M104" s="505">
        <f t="shared" si="17"/>
        <v>0</v>
      </c>
      <c r="N104" s="513"/>
      <c r="O104" s="505">
        <f t="shared" si="18"/>
        <v>0</v>
      </c>
      <c r="P104" s="505">
        <f t="shared" si="19"/>
        <v>0</v>
      </c>
    </row>
    <row r="105" spans="1:16">
      <c r="B105" s="145" t="str">
        <f t="shared" si="15"/>
        <v/>
      </c>
      <c r="C105" s="496">
        <f>IF(D94="","-",+C104+1)</f>
        <v>2022</v>
      </c>
      <c r="D105" s="350">
        <f>IF(F104+SUM(E$100:E104)=D$93,F104,D$93-SUM(E$100:E104))</f>
        <v>76161878.911428571</v>
      </c>
      <c r="E105" s="510">
        <f t="shared" si="20"/>
        <v>3507179.16</v>
      </c>
      <c r="F105" s="511">
        <f t="shared" si="21"/>
        <v>72654699.751428574</v>
      </c>
      <c r="G105" s="511">
        <f t="shared" si="22"/>
        <v>74408289.331428573</v>
      </c>
      <c r="H105" s="646">
        <f t="shared" si="23"/>
        <v>12284530.763570445</v>
      </c>
      <c r="I105" s="628">
        <f t="shared" si="24"/>
        <v>12284530.763570445</v>
      </c>
      <c r="J105" s="505">
        <f t="shared" si="16"/>
        <v>0</v>
      </c>
      <c r="K105" s="505"/>
      <c r="L105" s="513"/>
      <c r="M105" s="505">
        <f t="shared" si="17"/>
        <v>0</v>
      </c>
      <c r="N105" s="513"/>
      <c r="O105" s="505">
        <f t="shared" si="18"/>
        <v>0</v>
      </c>
      <c r="P105" s="505">
        <f t="shared" si="19"/>
        <v>0</v>
      </c>
    </row>
    <row r="106" spans="1:16">
      <c r="B106" s="145" t="str">
        <f t="shared" si="15"/>
        <v/>
      </c>
      <c r="C106" s="496">
        <f>IF(D94="","-",+C105+1)</f>
        <v>2023</v>
      </c>
      <c r="D106" s="350">
        <f>IF(F105+SUM(E$100:E105)=D$93,F105,D$93-SUM(E$100:E105))</f>
        <v>72654699.751428574</v>
      </c>
      <c r="E106" s="510">
        <f t="shared" si="20"/>
        <v>3507179.16</v>
      </c>
      <c r="F106" s="511">
        <f t="shared" si="21"/>
        <v>69147520.591428578</v>
      </c>
      <c r="G106" s="511">
        <f t="shared" si="22"/>
        <v>70901110.171428576</v>
      </c>
      <c r="H106" s="646">
        <f t="shared" si="23"/>
        <v>11870816.849426843</v>
      </c>
      <c r="I106" s="628">
        <f t="shared" si="24"/>
        <v>11870816.849426843</v>
      </c>
      <c r="J106" s="505">
        <f t="shared" si="16"/>
        <v>0</v>
      </c>
      <c r="K106" s="505"/>
      <c r="L106" s="513"/>
      <c r="M106" s="505">
        <f t="shared" si="17"/>
        <v>0</v>
      </c>
      <c r="N106" s="513"/>
      <c r="O106" s="505">
        <f t="shared" si="18"/>
        <v>0</v>
      </c>
      <c r="P106" s="505">
        <f t="shared" si="19"/>
        <v>0</v>
      </c>
    </row>
    <row r="107" spans="1:16">
      <c r="B107" s="145" t="str">
        <f t="shared" si="15"/>
        <v/>
      </c>
      <c r="C107" s="496">
        <f>IF(D94="","-",+C106+1)</f>
        <v>2024</v>
      </c>
      <c r="D107" s="350">
        <f>IF(F106+SUM(E$100:E106)=D$93,F106,D$93-SUM(E$100:E106))</f>
        <v>69147520.591428578</v>
      </c>
      <c r="E107" s="510">
        <f t="shared" si="20"/>
        <v>3507179.16</v>
      </c>
      <c r="F107" s="511">
        <f t="shared" si="21"/>
        <v>65640341.431428581</v>
      </c>
      <c r="G107" s="511">
        <f t="shared" si="22"/>
        <v>67393931.01142858</v>
      </c>
      <c r="H107" s="646">
        <f t="shared" si="23"/>
        <v>11457102.935283244</v>
      </c>
      <c r="I107" s="628">
        <f t="shared" si="24"/>
        <v>11457102.935283244</v>
      </c>
      <c r="J107" s="505">
        <f t="shared" si="16"/>
        <v>0</v>
      </c>
      <c r="K107" s="505"/>
      <c r="L107" s="513"/>
      <c r="M107" s="505">
        <f t="shared" si="17"/>
        <v>0</v>
      </c>
      <c r="N107" s="513"/>
      <c r="O107" s="505">
        <f t="shared" si="18"/>
        <v>0</v>
      </c>
      <c r="P107" s="505">
        <f t="shared" si="19"/>
        <v>0</v>
      </c>
    </row>
    <row r="108" spans="1:16">
      <c r="B108" s="145" t="str">
        <f t="shared" si="15"/>
        <v/>
      </c>
      <c r="C108" s="496">
        <f>IF(D94="","-",+C107+1)</f>
        <v>2025</v>
      </c>
      <c r="D108" s="350">
        <f>IF(F107+SUM(E$100:E107)=D$93,F107,D$93-SUM(E$100:E107))</f>
        <v>65640341.431428581</v>
      </c>
      <c r="E108" s="510">
        <f t="shared" si="20"/>
        <v>3507179.16</v>
      </c>
      <c r="F108" s="511">
        <f t="shared" si="21"/>
        <v>62133162.271428585</v>
      </c>
      <c r="G108" s="511">
        <f t="shared" si="22"/>
        <v>63886751.851428583</v>
      </c>
      <c r="H108" s="646">
        <f t="shared" si="23"/>
        <v>11043389.021139644</v>
      </c>
      <c r="I108" s="628">
        <f t="shared" si="24"/>
        <v>11043389.021139644</v>
      </c>
      <c r="J108" s="505">
        <f t="shared" si="16"/>
        <v>0</v>
      </c>
      <c r="K108" s="505"/>
      <c r="L108" s="513"/>
      <c r="M108" s="505">
        <f t="shared" si="17"/>
        <v>0</v>
      </c>
      <c r="N108" s="513"/>
      <c r="O108" s="505">
        <f t="shared" si="18"/>
        <v>0</v>
      </c>
      <c r="P108" s="505">
        <f t="shared" si="19"/>
        <v>0</v>
      </c>
    </row>
    <row r="109" spans="1:16">
      <c r="B109" s="145" t="str">
        <f t="shared" si="15"/>
        <v/>
      </c>
      <c r="C109" s="496">
        <f>IF(D94="","-",+C108+1)</f>
        <v>2026</v>
      </c>
      <c r="D109" s="350">
        <f>IF(F108+SUM(E$100:E108)=D$93,F108,D$93-SUM(E$100:E108))</f>
        <v>62133162.271428585</v>
      </c>
      <c r="E109" s="510">
        <f t="shared" si="20"/>
        <v>3507179.16</v>
      </c>
      <c r="F109" s="511">
        <f t="shared" si="21"/>
        <v>58625983.111428589</v>
      </c>
      <c r="G109" s="511">
        <f t="shared" si="22"/>
        <v>60379572.691428587</v>
      </c>
      <c r="H109" s="646">
        <f t="shared" si="23"/>
        <v>10629675.106996043</v>
      </c>
      <c r="I109" s="628">
        <f t="shared" si="24"/>
        <v>10629675.106996043</v>
      </c>
      <c r="J109" s="505">
        <f t="shared" si="16"/>
        <v>0</v>
      </c>
      <c r="K109" s="505"/>
      <c r="L109" s="513"/>
      <c r="M109" s="505">
        <f t="shared" si="17"/>
        <v>0</v>
      </c>
      <c r="N109" s="513"/>
      <c r="O109" s="505">
        <f t="shared" si="18"/>
        <v>0</v>
      </c>
      <c r="P109" s="505">
        <f t="shared" si="19"/>
        <v>0</v>
      </c>
    </row>
    <row r="110" spans="1:16">
      <c r="B110" s="145" t="str">
        <f t="shared" si="15"/>
        <v/>
      </c>
      <c r="C110" s="496">
        <f>IF(D94="","-",+C109+1)</f>
        <v>2027</v>
      </c>
      <c r="D110" s="350">
        <f>IF(F109+SUM(E$100:E109)=D$93,F109,D$93-SUM(E$100:E109))</f>
        <v>58625983.111428589</v>
      </c>
      <c r="E110" s="510">
        <f t="shared" si="20"/>
        <v>3507179.16</v>
      </c>
      <c r="F110" s="511">
        <f t="shared" si="21"/>
        <v>55118803.951428592</v>
      </c>
      <c r="G110" s="511">
        <f t="shared" si="22"/>
        <v>56872393.53142859</v>
      </c>
      <c r="H110" s="646">
        <f t="shared" si="23"/>
        <v>10215961.192852443</v>
      </c>
      <c r="I110" s="628">
        <f t="shared" si="24"/>
        <v>10215961.192852443</v>
      </c>
      <c r="J110" s="505">
        <f t="shared" si="16"/>
        <v>0</v>
      </c>
      <c r="K110" s="505"/>
      <c r="L110" s="513"/>
      <c r="M110" s="505">
        <f t="shared" si="17"/>
        <v>0</v>
      </c>
      <c r="N110" s="513"/>
      <c r="O110" s="505">
        <f t="shared" si="18"/>
        <v>0</v>
      </c>
      <c r="P110" s="505">
        <f t="shared" si="19"/>
        <v>0</v>
      </c>
    </row>
    <row r="111" spans="1:16">
      <c r="B111" s="145" t="str">
        <f t="shared" si="15"/>
        <v/>
      </c>
      <c r="C111" s="496">
        <f>IF(D94="","-",+C110+1)</f>
        <v>2028</v>
      </c>
      <c r="D111" s="350">
        <f>IF(F110+SUM(E$100:E110)=D$93,F110,D$93-SUM(E$100:E110))</f>
        <v>55118803.951428592</v>
      </c>
      <c r="E111" s="510">
        <f t="shared" si="20"/>
        <v>3507179.16</v>
      </c>
      <c r="F111" s="511">
        <f t="shared" si="21"/>
        <v>51611624.791428596</v>
      </c>
      <c r="G111" s="511">
        <f t="shared" si="22"/>
        <v>53365214.371428594</v>
      </c>
      <c r="H111" s="646">
        <f t="shared" si="23"/>
        <v>9802247.2787088417</v>
      </c>
      <c r="I111" s="628">
        <f t="shared" si="24"/>
        <v>9802247.2787088417</v>
      </c>
      <c r="J111" s="505">
        <f t="shared" si="16"/>
        <v>0</v>
      </c>
      <c r="K111" s="505"/>
      <c r="L111" s="513"/>
      <c r="M111" s="505">
        <f t="shared" si="17"/>
        <v>0</v>
      </c>
      <c r="N111" s="513"/>
      <c r="O111" s="505">
        <f t="shared" si="18"/>
        <v>0</v>
      </c>
      <c r="P111" s="505">
        <f t="shared" si="19"/>
        <v>0</v>
      </c>
    </row>
    <row r="112" spans="1:16">
      <c r="B112" s="145" t="str">
        <f t="shared" si="15"/>
        <v/>
      </c>
      <c r="C112" s="496">
        <f>IF(D94="","-",+C111+1)</f>
        <v>2029</v>
      </c>
      <c r="D112" s="350">
        <f>IF(F111+SUM(E$100:E111)=D$93,F111,D$93-SUM(E$100:E111))</f>
        <v>51611624.791428596</v>
      </c>
      <c r="E112" s="510">
        <f t="shared" si="20"/>
        <v>3507179.16</v>
      </c>
      <c r="F112" s="511">
        <f t="shared" si="21"/>
        <v>48104445.631428599</v>
      </c>
      <c r="G112" s="511">
        <f t="shared" si="22"/>
        <v>49858035.211428598</v>
      </c>
      <c r="H112" s="646">
        <f t="shared" si="23"/>
        <v>9388533.3645652421</v>
      </c>
      <c r="I112" s="628">
        <f t="shared" si="24"/>
        <v>9388533.3645652421</v>
      </c>
      <c r="J112" s="505">
        <f t="shared" si="16"/>
        <v>0</v>
      </c>
      <c r="K112" s="505"/>
      <c r="L112" s="513"/>
      <c r="M112" s="505">
        <f t="shared" si="17"/>
        <v>0</v>
      </c>
      <c r="N112" s="513"/>
      <c r="O112" s="505">
        <f t="shared" si="18"/>
        <v>0</v>
      </c>
      <c r="P112" s="505">
        <f t="shared" si="19"/>
        <v>0</v>
      </c>
    </row>
    <row r="113" spans="2:16">
      <c r="B113" s="145" t="str">
        <f t="shared" si="15"/>
        <v/>
      </c>
      <c r="C113" s="496">
        <f>IF(D94="","-",+C112+1)</f>
        <v>2030</v>
      </c>
      <c r="D113" s="350">
        <f>IF(F112+SUM(E$100:E112)=D$93,F112,D$93-SUM(E$100:E112))</f>
        <v>48104445.631428599</v>
      </c>
      <c r="E113" s="510">
        <f t="shared" si="20"/>
        <v>3507179.16</v>
      </c>
      <c r="F113" s="511">
        <f t="shared" si="21"/>
        <v>44597266.471428603</v>
      </c>
      <c r="G113" s="511">
        <f t="shared" si="22"/>
        <v>46350856.051428601</v>
      </c>
      <c r="H113" s="646">
        <f t="shared" si="23"/>
        <v>8974819.4504216425</v>
      </c>
      <c r="I113" s="628">
        <f t="shared" si="24"/>
        <v>8974819.4504216425</v>
      </c>
      <c r="J113" s="505">
        <f t="shared" si="16"/>
        <v>0</v>
      </c>
      <c r="K113" s="505"/>
      <c r="L113" s="513"/>
      <c r="M113" s="505">
        <f t="shared" si="17"/>
        <v>0</v>
      </c>
      <c r="N113" s="513"/>
      <c r="O113" s="505">
        <f t="shared" si="18"/>
        <v>0</v>
      </c>
      <c r="P113" s="505">
        <f t="shared" si="19"/>
        <v>0</v>
      </c>
    </row>
    <row r="114" spans="2:16">
      <c r="B114" s="145" t="str">
        <f t="shared" si="15"/>
        <v/>
      </c>
      <c r="C114" s="496">
        <f>IF(D94="","-",+C113+1)</f>
        <v>2031</v>
      </c>
      <c r="D114" s="350">
        <f>IF(F113+SUM(E$100:E113)=D$93,F113,D$93-SUM(E$100:E113))</f>
        <v>44597266.471428603</v>
      </c>
      <c r="E114" s="510">
        <f t="shared" si="20"/>
        <v>3507179.16</v>
      </c>
      <c r="F114" s="511">
        <f t="shared" si="21"/>
        <v>41090087.311428607</v>
      </c>
      <c r="G114" s="511">
        <f t="shared" si="22"/>
        <v>42843676.891428605</v>
      </c>
      <c r="H114" s="646">
        <f t="shared" si="23"/>
        <v>8561105.5362780411</v>
      </c>
      <c r="I114" s="628">
        <f t="shared" si="24"/>
        <v>8561105.5362780411</v>
      </c>
      <c r="J114" s="505">
        <f t="shared" si="16"/>
        <v>0</v>
      </c>
      <c r="K114" s="505"/>
      <c r="L114" s="513"/>
      <c r="M114" s="505">
        <f t="shared" si="17"/>
        <v>0</v>
      </c>
      <c r="N114" s="513"/>
      <c r="O114" s="505">
        <f t="shared" si="18"/>
        <v>0</v>
      </c>
      <c r="P114" s="505">
        <f t="shared" si="19"/>
        <v>0</v>
      </c>
    </row>
    <row r="115" spans="2:16">
      <c r="B115" s="145" t="str">
        <f t="shared" si="15"/>
        <v/>
      </c>
      <c r="C115" s="496">
        <f>IF(D94="","-",+C114+1)</f>
        <v>2032</v>
      </c>
      <c r="D115" s="350">
        <f>IF(F114+SUM(E$100:E114)=D$93,F114,D$93-SUM(E$100:E114))</f>
        <v>41090087.311428607</v>
      </c>
      <c r="E115" s="510">
        <f t="shared" si="20"/>
        <v>3507179.16</v>
      </c>
      <c r="F115" s="511">
        <f t="shared" si="21"/>
        <v>37582908.15142861</v>
      </c>
      <c r="G115" s="511">
        <f t="shared" si="22"/>
        <v>39336497.731428608</v>
      </c>
      <c r="H115" s="646">
        <f t="shared" si="23"/>
        <v>8147391.6221344415</v>
      </c>
      <c r="I115" s="628">
        <f t="shared" si="24"/>
        <v>8147391.6221344415</v>
      </c>
      <c r="J115" s="505">
        <f t="shared" si="16"/>
        <v>0</v>
      </c>
      <c r="K115" s="505"/>
      <c r="L115" s="513"/>
      <c r="M115" s="505">
        <f t="shared" si="17"/>
        <v>0</v>
      </c>
      <c r="N115" s="513"/>
      <c r="O115" s="505">
        <f t="shared" si="18"/>
        <v>0</v>
      </c>
      <c r="P115" s="505">
        <f t="shared" si="19"/>
        <v>0</v>
      </c>
    </row>
    <row r="116" spans="2:16">
      <c r="B116" s="145" t="str">
        <f t="shared" si="15"/>
        <v/>
      </c>
      <c r="C116" s="496">
        <f>IF(D94="","-",+C115+1)</f>
        <v>2033</v>
      </c>
      <c r="D116" s="350">
        <f>IF(F115+SUM(E$100:E115)=D$93,F115,D$93-SUM(E$100:E115))</f>
        <v>37582908.15142861</v>
      </c>
      <c r="E116" s="510">
        <f t="shared" si="20"/>
        <v>3507179.16</v>
      </c>
      <c r="F116" s="511">
        <f t="shared" si="21"/>
        <v>34075728.991428614</v>
      </c>
      <c r="G116" s="511">
        <f t="shared" si="22"/>
        <v>35829318.571428612</v>
      </c>
      <c r="H116" s="646">
        <f t="shared" si="23"/>
        <v>7733677.707990841</v>
      </c>
      <c r="I116" s="628">
        <f t="shared" si="24"/>
        <v>7733677.707990841</v>
      </c>
      <c r="J116" s="505">
        <f t="shared" si="16"/>
        <v>0</v>
      </c>
      <c r="K116" s="505"/>
      <c r="L116" s="513"/>
      <c r="M116" s="505">
        <f t="shared" si="17"/>
        <v>0</v>
      </c>
      <c r="N116" s="513"/>
      <c r="O116" s="505">
        <f t="shared" si="18"/>
        <v>0</v>
      </c>
      <c r="P116" s="505">
        <f t="shared" si="19"/>
        <v>0</v>
      </c>
    </row>
    <row r="117" spans="2:16">
      <c r="B117" s="145" t="str">
        <f t="shared" si="15"/>
        <v/>
      </c>
      <c r="C117" s="496">
        <f>IF(D94="","-",+C116+1)</f>
        <v>2034</v>
      </c>
      <c r="D117" s="350">
        <f>IF(F116+SUM(E$100:E116)=D$93,F116,D$93-SUM(E$100:E116))</f>
        <v>34075728.991428614</v>
      </c>
      <c r="E117" s="510">
        <f t="shared" si="20"/>
        <v>3507179.16</v>
      </c>
      <c r="F117" s="511">
        <f t="shared" si="21"/>
        <v>30568549.831428614</v>
      </c>
      <c r="G117" s="511">
        <f t="shared" si="22"/>
        <v>32322139.411428615</v>
      </c>
      <c r="H117" s="646">
        <f t="shared" si="23"/>
        <v>7319963.7938472405</v>
      </c>
      <c r="I117" s="628">
        <f t="shared" si="24"/>
        <v>7319963.7938472405</v>
      </c>
      <c r="J117" s="505">
        <f t="shared" si="16"/>
        <v>0</v>
      </c>
      <c r="K117" s="505"/>
      <c r="L117" s="513"/>
      <c r="M117" s="505">
        <f t="shared" si="17"/>
        <v>0</v>
      </c>
      <c r="N117" s="513"/>
      <c r="O117" s="505">
        <f t="shared" si="18"/>
        <v>0</v>
      </c>
      <c r="P117" s="505">
        <f t="shared" si="19"/>
        <v>0</v>
      </c>
    </row>
    <row r="118" spans="2:16">
      <c r="B118" s="145" t="str">
        <f t="shared" si="15"/>
        <v/>
      </c>
      <c r="C118" s="496">
        <f>IF(D94="","-",+C117+1)</f>
        <v>2035</v>
      </c>
      <c r="D118" s="350">
        <f>IF(F117+SUM(E$100:E117)=D$93,F117,D$93-SUM(E$100:E117))</f>
        <v>30568549.831428614</v>
      </c>
      <c r="E118" s="510">
        <f t="shared" si="20"/>
        <v>3507179.16</v>
      </c>
      <c r="F118" s="511">
        <f t="shared" si="21"/>
        <v>27061370.671428613</v>
      </c>
      <c r="G118" s="511">
        <f t="shared" si="22"/>
        <v>28814960.251428612</v>
      </c>
      <c r="H118" s="646">
        <f t="shared" si="23"/>
        <v>6906249.8797036391</v>
      </c>
      <c r="I118" s="628">
        <f t="shared" si="24"/>
        <v>6906249.8797036391</v>
      </c>
      <c r="J118" s="505">
        <f t="shared" si="16"/>
        <v>0</v>
      </c>
      <c r="K118" s="505"/>
      <c r="L118" s="513"/>
      <c r="M118" s="505">
        <f t="shared" si="17"/>
        <v>0</v>
      </c>
      <c r="N118" s="513"/>
      <c r="O118" s="505">
        <f t="shared" si="18"/>
        <v>0</v>
      </c>
      <c r="P118" s="505">
        <f t="shared" si="19"/>
        <v>0</v>
      </c>
    </row>
    <row r="119" spans="2:16">
      <c r="B119" s="145" t="str">
        <f t="shared" si="15"/>
        <v/>
      </c>
      <c r="C119" s="496">
        <f>IF(D94="","-",+C118+1)</f>
        <v>2036</v>
      </c>
      <c r="D119" s="350">
        <f>IF(F118+SUM(E$100:E118)=D$93,F118,D$93-SUM(E$100:E118))</f>
        <v>27061370.671428613</v>
      </c>
      <c r="E119" s="510">
        <f t="shared" si="20"/>
        <v>3507179.16</v>
      </c>
      <c r="F119" s="511">
        <f t="shared" si="21"/>
        <v>23554191.511428613</v>
      </c>
      <c r="G119" s="511">
        <f t="shared" si="22"/>
        <v>25307781.091428615</v>
      </c>
      <c r="H119" s="646">
        <f t="shared" si="23"/>
        <v>6492535.9655600395</v>
      </c>
      <c r="I119" s="628">
        <f t="shared" si="24"/>
        <v>6492535.9655600395</v>
      </c>
      <c r="J119" s="505">
        <f t="shared" si="16"/>
        <v>0</v>
      </c>
      <c r="K119" s="505"/>
      <c r="L119" s="513"/>
      <c r="M119" s="505">
        <f t="shared" si="17"/>
        <v>0</v>
      </c>
      <c r="N119" s="513"/>
      <c r="O119" s="505">
        <f t="shared" si="18"/>
        <v>0</v>
      </c>
      <c r="P119" s="505">
        <f t="shared" si="19"/>
        <v>0</v>
      </c>
    </row>
    <row r="120" spans="2:16">
      <c r="B120" s="145" t="str">
        <f t="shared" si="15"/>
        <v/>
      </c>
      <c r="C120" s="496">
        <f>IF(D94="","-",+C119+1)</f>
        <v>2037</v>
      </c>
      <c r="D120" s="350">
        <f>IF(F119+SUM(E$100:E119)=D$93,F119,D$93-SUM(E$100:E119))</f>
        <v>23554191.511428613</v>
      </c>
      <c r="E120" s="510">
        <f t="shared" si="20"/>
        <v>3507179.16</v>
      </c>
      <c r="F120" s="511">
        <f t="shared" si="21"/>
        <v>20047012.351428613</v>
      </c>
      <c r="G120" s="511">
        <f t="shared" si="22"/>
        <v>21800601.931428611</v>
      </c>
      <c r="H120" s="646">
        <f t="shared" si="23"/>
        <v>6078822.0514164381</v>
      </c>
      <c r="I120" s="628">
        <f t="shared" si="24"/>
        <v>6078822.0514164381</v>
      </c>
      <c r="J120" s="505">
        <f t="shared" si="16"/>
        <v>0</v>
      </c>
      <c r="K120" s="505"/>
      <c r="L120" s="513"/>
      <c r="M120" s="505">
        <f t="shared" si="17"/>
        <v>0</v>
      </c>
      <c r="N120" s="513"/>
      <c r="O120" s="505">
        <f t="shared" si="18"/>
        <v>0</v>
      </c>
      <c r="P120" s="505">
        <f t="shared" si="19"/>
        <v>0</v>
      </c>
    </row>
    <row r="121" spans="2:16">
      <c r="B121" s="145" t="str">
        <f t="shared" si="15"/>
        <v/>
      </c>
      <c r="C121" s="496">
        <f>IF(D94="","-",+C120+1)</f>
        <v>2038</v>
      </c>
      <c r="D121" s="350">
        <f>IF(F120+SUM(E$100:E120)=D$93,F120,D$93-SUM(E$100:E120))</f>
        <v>20047012.351428613</v>
      </c>
      <c r="E121" s="510">
        <f t="shared" si="20"/>
        <v>3507179.16</v>
      </c>
      <c r="F121" s="511">
        <f t="shared" si="21"/>
        <v>16539833.191428613</v>
      </c>
      <c r="G121" s="511">
        <f t="shared" si="22"/>
        <v>18293422.771428615</v>
      </c>
      <c r="H121" s="646">
        <f t="shared" si="23"/>
        <v>5665108.1372728376</v>
      </c>
      <c r="I121" s="628">
        <f t="shared" si="24"/>
        <v>5665108.1372728376</v>
      </c>
      <c r="J121" s="505">
        <f t="shared" si="16"/>
        <v>0</v>
      </c>
      <c r="K121" s="505"/>
      <c r="L121" s="513"/>
      <c r="M121" s="505">
        <f t="shared" si="17"/>
        <v>0</v>
      </c>
      <c r="N121" s="513"/>
      <c r="O121" s="505">
        <f t="shared" si="18"/>
        <v>0</v>
      </c>
      <c r="P121" s="505">
        <f t="shared" si="19"/>
        <v>0</v>
      </c>
    </row>
    <row r="122" spans="2:16">
      <c r="B122" s="145" t="str">
        <f t="shared" si="15"/>
        <v/>
      </c>
      <c r="C122" s="496">
        <f>IF(D94="","-",+C121+1)</f>
        <v>2039</v>
      </c>
      <c r="D122" s="350">
        <f>IF(F121+SUM(E$100:E121)=D$93,F121,D$93-SUM(E$100:E121))</f>
        <v>16539833.191428613</v>
      </c>
      <c r="E122" s="510">
        <f t="shared" si="20"/>
        <v>3507179.16</v>
      </c>
      <c r="F122" s="511">
        <f t="shared" si="21"/>
        <v>13032654.031428613</v>
      </c>
      <c r="G122" s="511">
        <f t="shared" si="22"/>
        <v>14786243.611428613</v>
      </c>
      <c r="H122" s="646">
        <f t="shared" si="23"/>
        <v>5251394.2231292371</v>
      </c>
      <c r="I122" s="628">
        <f t="shared" si="24"/>
        <v>5251394.2231292371</v>
      </c>
      <c r="J122" s="505">
        <f t="shared" si="16"/>
        <v>0</v>
      </c>
      <c r="K122" s="505"/>
      <c r="L122" s="513"/>
      <c r="M122" s="505">
        <f t="shared" si="17"/>
        <v>0</v>
      </c>
      <c r="N122" s="513"/>
      <c r="O122" s="505">
        <f t="shared" si="18"/>
        <v>0</v>
      </c>
      <c r="P122" s="505">
        <f t="shared" si="19"/>
        <v>0</v>
      </c>
    </row>
    <row r="123" spans="2:16">
      <c r="B123" s="145" t="str">
        <f t="shared" si="15"/>
        <v/>
      </c>
      <c r="C123" s="496">
        <f>IF(D94="","-",+C122+1)</f>
        <v>2040</v>
      </c>
      <c r="D123" s="350">
        <f>IF(F122+SUM(E$100:E122)=D$93,F122,D$93-SUM(E$100:E122))</f>
        <v>13032654.031428613</v>
      </c>
      <c r="E123" s="510">
        <f t="shared" si="20"/>
        <v>3507179.16</v>
      </c>
      <c r="F123" s="511">
        <f t="shared" si="21"/>
        <v>9525474.8714286126</v>
      </c>
      <c r="G123" s="511">
        <f t="shared" si="22"/>
        <v>11279064.451428613</v>
      </c>
      <c r="H123" s="646">
        <f t="shared" si="23"/>
        <v>4837680.3089856356</v>
      </c>
      <c r="I123" s="628">
        <f t="shared" si="24"/>
        <v>4837680.3089856356</v>
      </c>
      <c r="J123" s="505">
        <f t="shared" si="16"/>
        <v>0</v>
      </c>
      <c r="K123" s="505"/>
      <c r="L123" s="513"/>
      <c r="M123" s="505">
        <f t="shared" si="17"/>
        <v>0</v>
      </c>
      <c r="N123" s="513"/>
      <c r="O123" s="505">
        <f t="shared" si="18"/>
        <v>0</v>
      </c>
      <c r="P123" s="505">
        <f t="shared" si="19"/>
        <v>0</v>
      </c>
    </row>
    <row r="124" spans="2:16">
      <c r="B124" s="145" t="str">
        <f t="shared" si="15"/>
        <v/>
      </c>
      <c r="C124" s="496">
        <f>IF(D94="","-",+C123+1)</f>
        <v>2041</v>
      </c>
      <c r="D124" s="350">
        <f>IF(F123+SUM(E$100:E123)=D$93,F123,D$93-SUM(E$100:E123))</f>
        <v>9525474.8714286126</v>
      </c>
      <c r="E124" s="510">
        <f t="shared" si="20"/>
        <v>3507179.16</v>
      </c>
      <c r="F124" s="511">
        <f t="shared" si="21"/>
        <v>6018295.7114286125</v>
      </c>
      <c r="G124" s="511">
        <f t="shared" si="22"/>
        <v>7771885.2914286125</v>
      </c>
      <c r="H124" s="646">
        <f t="shared" si="23"/>
        <v>4423966.3948420351</v>
      </c>
      <c r="I124" s="628">
        <f t="shared" si="24"/>
        <v>4423966.3948420351</v>
      </c>
      <c r="J124" s="505">
        <f t="shared" si="16"/>
        <v>0</v>
      </c>
      <c r="K124" s="505"/>
      <c r="L124" s="513"/>
      <c r="M124" s="505">
        <f t="shared" si="17"/>
        <v>0</v>
      </c>
      <c r="N124" s="513"/>
      <c r="O124" s="505">
        <f t="shared" si="18"/>
        <v>0</v>
      </c>
      <c r="P124" s="505">
        <f t="shared" si="19"/>
        <v>0</v>
      </c>
    </row>
    <row r="125" spans="2:16">
      <c r="B125" s="145" t="str">
        <f t="shared" si="15"/>
        <v/>
      </c>
      <c r="C125" s="496">
        <f>IF(D94="","-",+C124+1)</f>
        <v>2042</v>
      </c>
      <c r="D125" s="350">
        <f>IF(F124+SUM(E$100:E124)=D$93,F124,D$93-SUM(E$100:E124))</f>
        <v>6018295.7114286125</v>
      </c>
      <c r="E125" s="510">
        <f t="shared" si="20"/>
        <v>3507179.16</v>
      </c>
      <c r="F125" s="511">
        <f t="shared" si="21"/>
        <v>2511116.5514286123</v>
      </c>
      <c r="G125" s="511">
        <f t="shared" si="22"/>
        <v>4264706.1314286124</v>
      </c>
      <c r="H125" s="646">
        <f t="shared" si="23"/>
        <v>4010252.4806984342</v>
      </c>
      <c r="I125" s="628">
        <f t="shared" si="24"/>
        <v>4010252.4806984342</v>
      </c>
      <c r="J125" s="505">
        <f t="shared" si="16"/>
        <v>0</v>
      </c>
      <c r="K125" s="505"/>
      <c r="L125" s="513"/>
      <c r="M125" s="505">
        <f t="shared" si="17"/>
        <v>0</v>
      </c>
      <c r="N125" s="513"/>
      <c r="O125" s="505">
        <f t="shared" si="18"/>
        <v>0</v>
      </c>
      <c r="P125" s="505">
        <f t="shared" si="19"/>
        <v>0</v>
      </c>
    </row>
    <row r="126" spans="2:16">
      <c r="B126" s="145" t="str">
        <f t="shared" si="15"/>
        <v/>
      </c>
      <c r="C126" s="496">
        <f>IF(D94="","-",+C125+1)</f>
        <v>2043</v>
      </c>
      <c r="D126" s="350">
        <f>IF(F125+SUM(E$100:E125)=D$93,F125,D$93-SUM(E$100:E125))</f>
        <v>2511116.5514286123</v>
      </c>
      <c r="E126" s="510">
        <f t="shared" si="20"/>
        <v>2511116.5514286123</v>
      </c>
      <c r="F126" s="511">
        <f t="shared" si="21"/>
        <v>0</v>
      </c>
      <c r="G126" s="511">
        <f t="shared" si="22"/>
        <v>1255558.2757143062</v>
      </c>
      <c r="H126" s="646">
        <f t="shared" si="23"/>
        <v>2659224.7332419292</v>
      </c>
      <c r="I126" s="628">
        <f t="shared" si="24"/>
        <v>2659224.7332419292</v>
      </c>
      <c r="J126" s="505">
        <f t="shared" si="16"/>
        <v>0</v>
      </c>
      <c r="K126" s="505"/>
      <c r="L126" s="513"/>
      <c r="M126" s="505">
        <f t="shared" si="17"/>
        <v>0</v>
      </c>
      <c r="N126" s="513"/>
      <c r="O126" s="505">
        <f t="shared" si="18"/>
        <v>0</v>
      </c>
      <c r="P126" s="505">
        <f t="shared" si="19"/>
        <v>0</v>
      </c>
    </row>
    <row r="127" spans="2:16">
      <c r="B127" s="145" t="str">
        <f t="shared" si="15"/>
        <v/>
      </c>
      <c r="C127" s="496">
        <f>IF(D94="","-",+C126+1)</f>
        <v>2044</v>
      </c>
      <c r="D127" s="350">
        <f>IF(F126+SUM(E$100:E126)=D$93,F126,D$93-SUM(E$100:E126))</f>
        <v>0</v>
      </c>
      <c r="E127" s="510">
        <f t="shared" si="20"/>
        <v>0</v>
      </c>
      <c r="F127" s="511">
        <f t="shared" si="21"/>
        <v>0</v>
      </c>
      <c r="G127" s="511">
        <f t="shared" si="22"/>
        <v>0</v>
      </c>
      <c r="H127" s="646">
        <f t="shared" si="23"/>
        <v>0</v>
      </c>
      <c r="I127" s="628">
        <f t="shared" si="24"/>
        <v>0</v>
      </c>
      <c r="J127" s="505">
        <f t="shared" si="16"/>
        <v>0</v>
      </c>
      <c r="K127" s="505"/>
      <c r="L127" s="513"/>
      <c r="M127" s="505">
        <f t="shared" si="17"/>
        <v>0</v>
      </c>
      <c r="N127" s="513"/>
      <c r="O127" s="505">
        <f t="shared" si="18"/>
        <v>0</v>
      </c>
      <c r="P127" s="505">
        <f t="shared" si="19"/>
        <v>0</v>
      </c>
    </row>
    <row r="128" spans="2:16">
      <c r="B128" s="145" t="str">
        <f t="shared" si="15"/>
        <v/>
      </c>
      <c r="C128" s="496">
        <f>IF(D94="","-",+C127+1)</f>
        <v>2045</v>
      </c>
      <c r="D128" s="350">
        <f>IF(F127+SUM(E$100:E127)=D$93,F127,D$93-SUM(E$100:E127))</f>
        <v>0</v>
      </c>
      <c r="E128" s="510">
        <f t="shared" si="20"/>
        <v>0</v>
      </c>
      <c r="F128" s="511">
        <f t="shared" si="21"/>
        <v>0</v>
      </c>
      <c r="G128" s="511">
        <f t="shared" si="22"/>
        <v>0</v>
      </c>
      <c r="H128" s="646">
        <f t="shared" si="23"/>
        <v>0</v>
      </c>
      <c r="I128" s="628">
        <f t="shared" si="24"/>
        <v>0</v>
      </c>
      <c r="J128" s="505">
        <f t="shared" si="16"/>
        <v>0</v>
      </c>
      <c r="K128" s="505"/>
      <c r="L128" s="513"/>
      <c r="M128" s="505">
        <f t="shared" si="17"/>
        <v>0</v>
      </c>
      <c r="N128" s="513"/>
      <c r="O128" s="505">
        <f t="shared" si="18"/>
        <v>0</v>
      </c>
      <c r="P128" s="505">
        <f t="shared" si="19"/>
        <v>0</v>
      </c>
    </row>
    <row r="129" spans="2:16">
      <c r="B129" s="145" t="str">
        <f t="shared" si="15"/>
        <v/>
      </c>
      <c r="C129" s="496">
        <f>IF(D94="","-",+C128+1)</f>
        <v>2046</v>
      </c>
      <c r="D129" s="350">
        <f>IF(F128+SUM(E$100:E128)=D$93,F128,D$93-SUM(E$100:E128))</f>
        <v>0</v>
      </c>
      <c r="E129" s="510">
        <f t="shared" si="20"/>
        <v>0</v>
      </c>
      <c r="F129" s="511">
        <f t="shared" si="21"/>
        <v>0</v>
      </c>
      <c r="G129" s="511">
        <f t="shared" si="22"/>
        <v>0</v>
      </c>
      <c r="H129" s="646">
        <f t="shared" si="23"/>
        <v>0</v>
      </c>
      <c r="I129" s="628">
        <f t="shared" si="24"/>
        <v>0</v>
      </c>
      <c r="J129" s="505">
        <f t="shared" si="16"/>
        <v>0</v>
      </c>
      <c r="K129" s="505"/>
      <c r="L129" s="513"/>
      <c r="M129" s="505">
        <f t="shared" si="17"/>
        <v>0</v>
      </c>
      <c r="N129" s="513"/>
      <c r="O129" s="505">
        <f t="shared" si="18"/>
        <v>0</v>
      </c>
      <c r="P129" s="505">
        <f t="shared" si="19"/>
        <v>0</v>
      </c>
    </row>
    <row r="130" spans="2:16">
      <c r="B130" s="145" t="str">
        <f t="shared" si="15"/>
        <v/>
      </c>
      <c r="C130" s="496">
        <f>IF(D94="","-",+C129+1)</f>
        <v>2047</v>
      </c>
      <c r="D130" s="350">
        <f>IF(F129+SUM(E$100:E129)=D$93,F129,D$93-SUM(E$100:E129))</f>
        <v>0</v>
      </c>
      <c r="E130" s="510">
        <f t="shared" si="20"/>
        <v>0</v>
      </c>
      <c r="F130" s="511">
        <f t="shared" si="21"/>
        <v>0</v>
      </c>
      <c r="G130" s="511">
        <f t="shared" si="22"/>
        <v>0</v>
      </c>
      <c r="H130" s="646">
        <f t="shared" si="23"/>
        <v>0</v>
      </c>
      <c r="I130" s="628">
        <f t="shared" si="24"/>
        <v>0</v>
      </c>
      <c r="J130" s="505">
        <f t="shared" si="16"/>
        <v>0</v>
      </c>
      <c r="K130" s="505"/>
      <c r="L130" s="513"/>
      <c r="M130" s="505">
        <f t="shared" si="17"/>
        <v>0</v>
      </c>
      <c r="N130" s="513"/>
      <c r="O130" s="505">
        <f t="shared" si="18"/>
        <v>0</v>
      </c>
      <c r="P130" s="505">
        <f t="shared" si="19"/>
        <v>0</v>
      </c>
    </row>
    <row r="131" spans="2:16">
      <c r="B131" s="145" t="str">
        <f t="shared" si="15"/>
        <v/>
      </c>
      <c r="C131" s="496">
        <f>IF(D94="","-",+C130+1)</f>
        <v>2048</v>
      </c>
      <c r="D131" s="350">
        <f>IF(F130+SUM(E$100:E130)=D$93,F130,D$93-SUM(E$100:E130))</f>
        <v>0</v>
      </c>
      <c r="E131" s="510">
        <f t="shared" si="20"/>
        <v>0</v>
      </c>
      <c r="F131" s="511">
        <f t="shared" si="21"/>
        <v>0</v>
      </c>
      <c r="G131" s="511">
        <f t="shared" si="22"/>
        <v>0</v>
      </c>
      <c r="H131" s="646">
        <f t="shared" si="23"/>
        <v>0</v>
      </c>
      <c r="I131" s="628">
        <f t="shared" si="24"/>
        <v>0</v>
      </c>
      <c r="J131" s="505">
        <f t="shared" si="16"/>
        <v>0</v>
      </c>
      <c r="K131" s="505"/>
      <c r="L131" s="513"/>
      <c r="M131" s="505">
        <f t="shared" si="17"/>
        <v>0</v>
      </c>
      <c r="N131" s="513"/>
      <c r="O131" s="505">
        <f t="shared" si="18"/>
        <v>0</v>
      </c>
      <c r="P131" s="505">
        <f t="shared" si="19"/>
        <v>0</v>
      </c>
    </row>
    <row r="132" spans="2:16">
      <c r="B132" s="145" t="str">
        <f t="shared" si="15"/>
        <v/>
      </c>
      <c r="C132" s="496">
        <f>IF(D94="","-",+C131+1)</f>
        <v>2049</v>
      </c>
      <c r="D132" s="350">
        <f>IF(F131+SUM(E$100:E131)=D$93,F131,D$93-SUM(E$100:E131))</f>
        <v>0</v>
      </c>
      <c r="E132" s="510">
        <f t="shared" si="20"/>
        <v>0</v>
      </c>
      <c r="F132" s="511">
        <f t="shared" ref="F132:F155" si="25">+D132-E132</f>
        <v>0</v>
      </c>
      <c r="G132" s="511">
        <f t="shared" ref="G132:G155" si="26">+(F132+D132)/2</f>
        <v>0</v>
      </c>
      <c r="H132" s="646">
        <f t="shared" si="23"/>
        <v>0</v>
      </c>
      <c r="I132" s="628">
        <f t="shared" si="24"/>
        <v>0</v>
      </c>
      <c r="J132" s="505">
        <f t="shared" ref="J132:J155" si="27">+I542-H542</f>
        <v>0</v>
      </c>
      <c r="K132" s="505"/>
      <c r="L132" s="513"/>
      <c r="M132" s="505">
        <f t="shared" ref="M132:M155" si="28">IF(L542&lt;&gt;0,+H542-L542,0)</f>
        <v>0</v>
      </c>
      <c r="N132" s="513"/>
      <c r="O132" s="505">
        <f t="shared" ref="O132:O155" si="29">IF(N542&lt;&gt;0,+I542-N542,0)</f>
        <v>0</v>
      </c>
      <c r="P132" s="505">
        <f t="shared" ref="P132:P155" si="30">+O542-M542</f>
        <v>0</v>
      </c>
    </row>
    <row r="133" spans="2:16">
      <c r="B133" s="145" t="str">
        <f t="shared" si="15"/>
        <v/>
      </c>
      <c r="C133" s="496">
        <f>IF(D94="","-",+C132+1)</f>
        <v>2050</v>
      </c>
      <c r="D133" s="350">
        <f>IF(F132+SUM(E$100:E132)=D$93,F132,D$93-SUM(E$100:E132))</f>
        <v>0</v>
      </c>
      <c r="E133" s="510">
        <f t="shared" ref="E133:E155" si="31">IF(+J$97&lt;F132,J$97,D133)</f>
        <v>0</v>
      </c>
      <c r="F133" s="511">
        <f t="shared" si="25"/>
        <v>0</v>
      </c>
      <c r="G133" s="511">
        <f t="shared" si="26"/>
        <v>0</v>
      </c>
      <c r="H133" s="646">
        <f t="shared" si="23"/>
        <v>0</v>
      </c>
      <c r="I133" s="628">
        <f t="shared" si="24"/>
        <v>0</v>
      </c>
      <c r="J133" s="505">
        <f t="shared" si="27"/>
        <v>0</v>
      </c>
      <c r="K133" s="505"/>
      <c r="L133" s="513"/>
      <c r="M133" s="505">
        <f t="shared" si="28"/>
        <v>0</v>
      </c>
      <c r="N133" s="513"/>
      <c r="O133" s="505">
        <f t="shared" si="29"/>
        <v>0</v>
      </c>
      <c r="P133" s="505">
        <f t="shared" si="30"/>
        <v>0</v>
      </c>
    </row>
    <row r="134" spans="2:16">
      <c r="B134" s="145" t="str">
        <f t="shared" si="15"/>
        <v/>
      </c>
      <c r="C134" s="496">
        <f>IF(D94="","-",+C133+1)</f>
        <v>2051</v>
      </c>
      <c r="D134" s="350">
        <f>IF(F133+SUM(E$100:E133)=D$93,F133,D$93-SUM(E$100:E133))</f>
        <v>0</v>
      </c>
      <c r="E134" s="510">
        <f t="shared" si="31"/>
        <v>0</v>
      </c>
      <c r="F134" s="511">
        <f t="shared" si="25"/>
        <v>0</v>
      </c>
      <c r="G134" s="511">
        <f t="shared" si="26"/>
        <v>0</v>
      </c>
      <c r="H134" s="646">
        <f t="shared" si="23"/>
        <v>0</v>
      </c>
      <c r="I134" s="628">
        <f t="shared" si="24"/>
        <v>0</v>
      </c>
      <c r="J134" s="505">
        <f t="shared" si="27"/>
        <v>0</v>
      </c>
      <c r="K134" s="505"/>
      <c r="L134" s="513"/>
      <c r="M134" s="505">
        <f t="shared" si="28"/>
        <v>0</v>
      </c>
      <c r="N134" s="513"/>
      <c r="O134" s="505">
        <f t="shared" si="29"/>
        <v>0</v>
      </c>
      <c r="P134" s="505">
        <f t="shared" si="30"/>
        <v>0</v>
      </c>
    </row>
    <row r="135" spans="2:16">
      <c r="B135" s="145" t="str">
        <f t="shared" si="15"/>
        <v/>
      </c>
      <c r="C135" s="496">
        <f>IF(D94="","-",+C134+1)</f>
        <v>2052</v>
      </c>
      <c r="D135" s="350">
        <f>IF(F134+SUM(E$100:E134)=D$93,F134,D$93-SUM(E$100:E134))</f>
        <v>0</v>
      </c>
      <c r="E135" s="510">
        <f t="shared" si="31"/>
        <v>0</v>
      </c>
      <c r="F135" s="511">
        <f t="shared" si="25"/>
        <v>0</v>
      </c>
      <c r="G135" s="511">
        <f t="shared" si="26"/>
        <v>0</v>
      </c>
      <c r="H135" s="646">
        <f t="shared" si="23"/>
        <v>0</v>
      </c>
      <c r="I135" s="628">
        <f t="shared" si="24"/>
        <v>0</v>
      </c>
      <c r="J135" s="505">
        <f t="shared" si="27"/>
        <v>0</v>
      </c>
      <c r="K135" s="505"/>
      <c r="L135" s="513"/>
      <c r="M135" s="505">
        <f t="shared" si="28"/>
        <v>0</v>
      </c>
      <c r="N135" s="513"/>
      <c r="O135" s="505">
        <f t="shared" si="29"/>
        <v>0</v>
      </c>
      <c r="P135" s="505">
        <f t="shared" si="30"/>
        <v>0</v>
      </c>
    </row>
    <row r="136" spans="2:16">
      <c r="B136" s="145" t="str">
        <f t="shared" si="15"/>
        <v/>
      </c>
      <c r="C136" s="496">
        <f>IF(D94="","-",+C135+1)</f>
        <v>2053</v>
      </c>
      <c r="D136" s="350">
        <f>IF(F135+SUM(E$100:E135)=D$93,F135,D$93-SUM(E$100:E135))</f>
        <v>0</v>
      </c>
      <c r="E136" s="510">
        <f t="shared" si="31"/>
        <v>0</v>
      </c>
      <c r="F136" s="511">
        <f t="shared" si="25"/>
        <v>0</v>
      </c>
      <c r="G136" s="511">
        <f t="shared" si="26"/>
        <v>0</v>
      </c>
      <c r="H136" s="646">
        <f t="shared" si="23"/>
        <v>0</v>
      </c>
      <c r="I136" s="628">
        <f t="shared" si="24"/>
        <v>0</v>
      </c>
      <c r="J136" s="505">
        <f t="shared" si="27"/>
        <v>0</v>
      </c>
      <c r="K136" s="505"/>
      <c r="L136" s="513"/>
      <c r="M136" s="505">
        <f t="shared" si="28"/>
        <v>0</v>
      </c>
      <c r="N136" s="513"/>
      <c r="O136" s="505">
        <f t="shared" si="29"/>
        <v>0</v>
      </c>
      <c r="P136" s="505">
        <f t="shared" si="30"/>
        <v>0</v>
      </c>
    </row>
    <row r="137" spans="2:16">
      <c r="B137" s="145" t="str">
        <f t="shared" si="15"/>
        <v/>
      </c>
      <c r="C137" s="496">
        <f>IF(D94="","-",+C136+1)</f>
        <v>2054</v>
      </c>
      <c r="D137" s="350">
        <f>IF(F136+SUM(E$100:E136)=D$93,F136,D$93-SUM(E$100:E136))</f>
        <v>0</v>
      </c>
      <c r="E137" s="510">
        <f t="shared" si="31"/>
        <v>0</v>
      </c>
      <c r="F137" s="511">
        <f t="shared" si="25"/>
        <v>0</v>
      </c>
      <c r="G137" s="511">
        <f t="shared" si="26"/>
        <v>0</v>
      </c>
      <c r="H137" s="646">
        <f t="shared" si="23"/>
        <v>0</v>
      </c>
      <c r="I137" s="628">
        <f t="shared" si="24"/>
        <v>0</v>
      </c>
      <c r="J137" s="505">
        <f t="shared" si="27"/>
        <v>0</v>
      </c>
      <c r="K137" s="505"/>
      <c r="L137" s="513"/>
      <c r="M137" s="505">
        <f t="shared" si="28"/>
        <v>0</v>
      </c>
      <c r="N137" s="513"/>
      <c r="O137" s="505">
        <f t="shared" si="29"/>
        <v>0</v>
      </c>
      <c r="P137" s="505">
        <f t="shared" si="30"/>
        <v>0</v>
      </c>
    </row>
    <row r="138" spans="2:16">
      <c r="B138" s="145" t="str">
        <f t="shared" si="15"/>
        <v/>
      </c>
      <c r="C138" s="496">
        <f>IF(D94="","-",+C137+1)</f>
        <v>2055</v>
      </c>
      <c r="D138" s="350">
        <f>IF(F137+SUM(E$100:E137)=D$93,F137,D$93-SUM(E$100:E137))</f>
        <v>0</v>
      </c>
      <c r="E138" s="510">
        <f t="shared" si="31"/>
        <v>0</v>
      </c>
      <c r="F138" s="511">
        <f t="shared" si="25"/>
        <v>0</v>
      </c>
      <c r="G138" s="511">
        <f t="shared" si="26"/>
        <v>0</v>
      </c>
      <c r="H138" s="646">
        <f t="shared" si="23"/>
        <v>0</v>
      </c>
      <c r="I138" s="628">
        <f t="shared" si="24"/>
        <v>0</v>
      </c>
      <c r="J138" s="505">
        <f t="shared" si="27"/>
        <v>0</v>
      </c>
      <c r="K138" s="505"/>
      <c r="L138" s="513"/>
      <c r="M138" s="505">
        <f t="shared" si="28"/>
        <v>0</v>
      </c>
      <c r="N138" s="513"/>
      <c r="O138" s="505">
        <f t="shared" si="29"/>
        <v>0</v>
      </c>
      <c r="P138" s="505">
        <f t="shared" si="30"/>
        <v>0</v>
      </c>
    </row>
    <row r="139" spans="2:16">
      <c r="B139" s="145" t="str">
        <f t="shared" si="15"/>
        <v/>
      </c>
      <c r="C139" s="496">
        <f>IF(D94="","-",+C138+1)</f>
        <v>2056</v>
      </c>
      <c r="D139" s="350">
        <f>IF(F138+SUM(E$100:E138)=D$93,F138,D$93-SUM(E$100:E138))</f>
        <v>0</v>
      </c>
      <c r="E139" s="510">
        <f t="shared" si="31"/>
        <v>0</v>
      </c>
      <c r="F139" s="511">
        <f t="shared" si="25"/>
        <v>0</v>
      </c>
      <c r="G139" s="511">
        <f t="shared" si="26"/>
        <v>0</v>
      </c>
      <c r="H139" s="646">
        <f t="shared" si="23"/>
        <v>0</v>
      </c>
      <c r="I139" s="628">
        <f t="shared" si="24"/>
        <v>0</v>
      </c>
      <c r="J139" s="505">
        <f t="shared" si="27"/>
        <v>0</v>
      </c>
      <c r="K139" s="505"/>
      <c r="L139" s="513"/>
      <c r="M139" s="505">
        <f t="shared" si="28"/>
        <v>0</v>
      </c>
      <c r="N139" s="513"/>
      <c r="O139" s="505">
        <f t="shared" si="29"/>
        <v>0</v>
      </c>
      <c r="P139" s="505">
        <f t="shared" si="30"/>
        <v>0</v>
      </c>
    </row>
    <row r="140" spans="2:16">
      <c r="B140" s="145" t="str">
        <f t="shared" si="15"/>
        <v/>
      </c>
      <c r="C140" s="496">
        <f>IF(D94="","-",+C139+1)</f>
        <v>2057</v>
      </c>
      <c r="D140" s="350">
        <f>IF(F139+SUM(E$100:E139)=D$93,F139,D$93-SUM(E$100:E139))</f>
        <v>0</v>
      </c>
      <c r="E140" s="510">
        <f t="shared" si="31"/>
        <v>0</v>
      </c>
      <c r="F140" s="511">
        <f t="shared" si="25"/>
        <v>0</v>
      </c>
      <c r="G140" s="511">
        <f t="shared" si="26"/>
        <v>0</v>
      </c>
      <c r="H140" s="646">
        <f t="shared" si="23"/>
        <v>0</v>
      </c>
      <c r="I140" s="628">
        <f t="shared" si="24"/>
        <v>0</v>
      </c>
      <c r="J140" s="505">
        <f t="shared" si="27"/>
        <v>0</v>
      </c>
      <c r="K140" s="505"/>
      <c r="L140" s="513"/>
      <c r="M140" s="505">
        <f t="shared" si="28"/>
        <v>0</v>
      </c>
      <c r="N140" s="513"/>
      <c r="O140" s="505">
        <f t="shared" si="29"/>
        <v>0</v>
      </c>
      <c r="P140" s="505">
        <f t="shared" si="30"/>
        <v>0</v>
      </c>
    </row>
    <row r="141" spans="2:16">
      <c r="B141" s="145" t="str">
        <f t="shared" si="15"/>
        <v/>
      </c>
      <c r="C141" s="496">
        <f>IF(D94="","-",+C140+1)</f>
        <v>2058</v>
      </c>
      <c r="D141" s="350">
        <f>IF(F140+SUM(E$100:E140)=D$93,F140,D$93-SUM(E$100:E140))</f>
        <v>0</v>
      </c>
      <c r="E141" s="510">
        <f t="shared" si="31"/>
        <v>0</v>
      </c>
      <c r="F141" s="511">
        <f t="shared" si="25"/>
        <v>0</v>
      </c>
      <c r="G141" s="511">
        <f t="shared" si="26"/>
        <v>0</v>
      </c>
      <c r="H141" s="646">
        <f t="shared" si="23"/>
        <v>0</v>
      </c>
      <c r="I141" s="628">
        <f t="shared" si="24"/>
        <v>0</v>
      </c>
      <c r="J141" s="505">
        <f t="shared" si="27"/>
        <v>0</v>
      </c>
      <c r="K141" s="505"/>
      <c r="L141" s="513"/>
      <c r="M141" s="505">
        <f t="shared" si="28"/>
        <v>0</v>
      </c>
      <c r="N141" s="513"/>
      <c r="O141" s="505">
        <f t="shared" si="29"/>
        <v>0</v>
      </c>
      <c r="P141" s="505">
        <f t="shared" si="30"/>
        <v>0</v>
      </c>
    </row>
    <row r="142" spans="2:16">
      <c r="B142" s="145" t="str">
        <f t="shared" si="15"/>
        <v/>
      </c>
      <c r="C142" s="496">
        <f>IF(D94="","-",+C141+1)</f>
        <v>2059</v>
      </c>
      <c r="D142" s="350">
        <f>IF(F141+SUM(E$100:E141)=D$93,F141,D$93-SUM(E$100:E141))</f>
        <v>0</v>
      </c>
      <c r="E142" s="510">
        <f t="shared" si="31"/>
        <v>0</v>
      </c>
      <c r="F142" s="511">
        <f t="shared" si="25"/>
        <v>0</v>
      </c>
      <c r="G142" s="511">
        <f t="shared" si="26"/>
        <v>0</v>
      </c>
      <c r="H142" s="646">
        <f t="shared" si="23"/>
        <v>0</v>
      </c>
      <c r="I142" s="628">
        <f t="shared" si="24"/>
        <v>0</v>
      </c>
      <c r="J142" s="505">
        <f t="shared" si="27"/>
        <v>0</v>
      </c>
      <c r="K142" s="505"/>
      <c r="L142" s="513"/>
      <c r="M142" s="505">
        <f t="shared" si="28"/>
        <v>0</v>
      </c>
      <c r="N142" s="513"/>
      <c r="O142" s="505">
        <f t="shared" si="29"/>
        <v>0</v>
      </c>
      <c r="P142" s="505">
        <f t="shared" si="30"/>
        <v>0</v>
      </c>
    </row>
    <row r="143" spans="2:16">
      <c r="B143" s="145" t="str">
        <f t="shared" si="15"/>
        <v/>
      </c>
      <c r="C143" s="496">
        <f>IF(D94="","-",+C142+1)</f>
        <v>2060</v>
      </c>
      <c r="D143" s="350">
        <f>IF(F142+SUM(E$100:E142)=D$93,F142,D$93-SUM(E$100:E142))</f>
        <v>0</v>
      </c>
      <c r="E143" s="510">
        <f t="shared" si="31"/>
        <v>0</v>
      </c>
      <c r="F143" s="511">
        <f t="shared" si="25"/>
        <v>0</v>
      </c>
      <c r="G143" s="511">
        <f t="shared" si="26"/>
        <v>0</v>
      </c>
      <c r="H143" s="646">
        <f t="shared" si="23"/>
        <v>0</v>
      </c>
      <c r="I143" s="628">
        <f t="shared" si="24"/>
        <v>0</v>
      </c>
      <c r="J143" s="505">
        <f t="shared" si="27"/>
        <v>0</v>
      </c>
      <c r="K143" s="505"/>
      <c r="L143" s="513"/>
      <c r="M143" s="505">
        <f t="shared" si="28"/>
        <v>0</v>
      </c>
      <c r="N143" s="513"/>
      <c r="O143" s="505">
        <f t="shared" si="29"/>
        <v>0</v>
      </c>
      <c r="P143" s="505">
        <f t="shared" si="30"/>
        <v>0</v>
      </c>
    </row>
    <row r="144" spans="2:16">
      <c r="B144" s="145" t="str">
        <f t="shared" si="15"/>
        <v/>
      </c>
      <c r="C144" s="496">
        <f>IF(D94="","-",+C143+1)</f>
        <v>2061</v>
      </c>
      <c r="D144" s="350">
        <f>IF(F143+SUM(E$100:E143)=D$93,F143,D$93-SUM(E$100:E143))</f>
        <v>0</v>
      </c>
      <c r="E144" s="510">
        <f t="shared" si="31"/>
        <v>0</v>
      </c>
      <c r="F144" s="511">
        <f t="shared" si="25"/>
        <v>0</v>
      </c>
      <c r="G144" s="511">
        <f t="shared" si="26"/>
        <v>0</v>
      </c>
      <c r="H144" s="646">
        <f t="shared" si="23"/>
        <v>0</v>
      </c>
      <c r="I144" s="628">
        <f t="shared" si="24"/>
        <v>0</v>
      </c>
      <c r="J144" s="505">
        <f t="shared" si="27"/>
        <v>0</v>
      </c>
      <c r="K144" s="505"/>
      <c r="L144" s="513"/>
      <c r="M144" s="505">
        <f t="shared" si="28"/>
        <v>0</v>
      </c>
      <c r="N144" s="513"/>
      <c r="O144" s="505">
        <f t="shared" si="29"/>
        <v>0</v>
      </c>
      <c r="P144" s="505">
        <f t="shared" si="30"/>
        <v>0</v>
      </c>
    </row>
    <row r="145" spans="2:16">
      <c r="B145" s="145" t="str">
        <f t="shared" si="15"/>
        <v/>
      </c>
      <c r="C145" s="496">
        <f>IF(D94="","-",+C144+1)</f>
        <v>2062</v>
      </c>
      <c r="D145" s="350">
        <f>IF(F144+SUM(E$100:E144)=D$93,F144,D$93-SUM(E$100:E144))</f>
        <v>0</v>
      </c>
      <c r="E145" s="510">
        <f t="shared" si="31"/>
        <v>0</v>
      </c>
      <c r="F145" s="511">
        <f t="shared" si="25"/>
        <v>0</v>
      </c>
      <c r="G145" s="511">
        <f t="shared" si="26"/>
        <v>0</v>
      </c>
      <c r="H145" s="646">
        <f t="shared" si="23"/>
        <v>0</v>
      </c>
      <c r="I145" s="628">
        <f t="shared" si="24"/>
        <v>0</v>
      </c>
      <c r="J145" s="505">
        <f t="shared" si="27"/>
        <v>0</v>
      </c>
      <c r="K145" s="505"/>
      <c r="L145" s="513"/>
      <c r="M145" s="505">
        <f t="shared" si="28"/>
        <v>0</v>
      </c>
      <c r="N145" s="513"/>
      <c r="O145" s="505">
        <f t="shared" si="29"/>
        <v>0</v>
      </c>
      <c r="P145" s="505">
        <f t="shared" si="30"/>
        <v>0</v>
      </c>
    </row>
    <row r="146" spans="2:16">
      <c r="B146" s="145" t="str">
        <f t="shared" si="15"/>
        <v/>
      </c>
      <c r="C146" s="496">
        <f>IF(D94="","-",+C145+1)</f>
        <v>2063</v>
      </c>
      <c r="D146" s="350">
        <f>IF(F145+SUM(E$100:E145)=D$93,F145,D$93-SUM(E$100:E145))</f>
        <v>0</v>
      </c>
      <c r="E146" s="510">
        <f t="shared" si="31"/>
        <v>0</v>
      </c>
      <c r="F146" s="511">
        <f t="shared" si="25"/>
        <v>0</v>
      </c>
      <c r="G146" s="511">
        <f t="shared" si="26"/>
        <v>0</v>
      </c>
      <c r="H146" s="646">
        <f t="shared" si="23"/>
        <v>0</v>
      </c>
      <c r="I146" s="628">
        <f t="shared" si="24"/>
        <v>0</v>
      </c>
      <c r="J146" s="505">
        <f t="shared" si="27"/>
        <v>0</v>
      </c>
      <c r="K146" s="505"/>
      <c r="L146" s="513"/>
      <c r="M146" s="505">
        <f t="shared" si="28"/>
        <v>0</v>
      </c>
      <c r="N146" s="513"/>
      <c r="O146" s="505">
        <f t="shared" si="29"/>
        <v>0</v>
      </c>
      <c r="P146" s="505">
        <f t="shared" si="30"/>
        <v>0</v>
      </c>
    </row>
    <row r="147" spans="2:16">
      <c r="B147" s="145" t="str">
        <f t="shared" si="15"/>
        <v/>
      </c>
      <c r="C147" s="496">
        <f>IF(D94="","-",+C146+1)</f>
        <v>2064</v>
      </c>
      <c r="D147" s="350">
        <f>IF(F146+SUM(E$100:E146)=D$93,F146,D$93-SUM(E$100:E146))</f>
        <v>0</v>
      </c>
      <c r="E147" s="510">
        <f t="shared" si="31"/>
        <v>0</v>
      </c>
      <c r="F147" s="511">
        <f t="shared" si="25"/>
        <v>0</v>
      </c>
      <c r="G147" s="511">
        <f t="shared" si="26"/>
        <v>0</v>
      </c>
      <c r="H147" s="646">
        <f t="shared" si="23"/>
        <v>0</v>
      </c>
      <c r="I147" s="628">
        <f t="shared" si="24"/>
        <v>0</v>
      </c>
      <c r="J147" s="505">
        <f t="shared" si="27"/>
        <v>0</v>
      </c>
      <c r="K147" s="505"/>
      <c r="L147" s="513"/>
      <c r="M147" s="505">
        <f t="shared" si="28"/>
        <v>0</v>
      </c>
      <c r="N147" s="513"/>
      <c r="O147" s="505">
        <f t="shared" si="29"/>
        <v>0</v>
      </c>
      <c r="P147" s="505">
        <f t="shared" si="30"/>
        <v>0</v>
      </c>
    </row>
    <row r="148" spans="2:16">
      <c r="B148" s="145" t="str">
        <f t="shared" si="15"/>
        <v/>
      </c>
      <c r="C148" s="496">
        <f>IF(D94="","-",+C147+1)</f>
        <v>2065</v>
      </c>
      <c r="D148" s="350">
        <f>IF(F147+SUM(E$100:E147)=D$93,F147,D$93-SUM(E$100:E147))</f>
        <v>0</v>
      </c>
      <c r="E148" s="510">
        <f t="shared" si="31"/>
        <v>0</v>
      </c>
      <c r="F148" s="511">
        <f t="shared" si="25"/>
        <v>0</v>
      </c>
      <c r="G148" s="511">
        <f t="shared" si="26"/>
        <v>0</v>
      </c>
      <c r="H148" s="646">
        <f t="shared" si="23"/>
        <v>0</v>
      </c>
      <c r="I148" s="628">
        <f t="shared" si="24"/>
        <v>0</v>
      </c>
      <c r="J148" s="505">
        <f t="shared" si="27"/>
        <v>0</v>
      </c>
      <c r="K148" s="505"/>
      <c r="L148" s="513"/>
      <c r="M148" s="505">
        <f t="shared" si="28"/>
        <v>0</v>
      </c>
      <c r="N148" s="513"/>
      <c r="O148" s="505">
        <f t="shared" si="29"/>
        <v>0</v>
      </c>
      <c r="P148" s="505">
        <f t="shared" si="30"/>
        <v>0</v>
      </c>
    </row>
    <row r="149" spans="2:16">
      <c r="B149" s="145" t="str">
        <f t="shared" si="15"/>
        <v/>
      </c>
      <c r="C149" s="496">
        <f>IF(D94="","-",+C148+1)</f>
        <v>2066</v>
      </c>
      <c r="D149" s="350">
        <f>IF(F148+SUM(E$100:E148)=D$93,F148,D$93-SUM(E$100:E148))</f>
        <v>0</v>
      </c>
      <c r="E149" s="510">
        <f t="shared" si="31"/>
        <v>0</v>
      </c>
      <c r="F149" s="511">
        <f t="shared" si="25"/>
        <v>0</v>
      </c>
      <c r="G149" s="511">
        <f t="shared" si="26"/>
        <v>0</v>
      </c>
      <c r="H149" s="646">
        <f t="shared" si="23"/>
        <v>0</v>
      </c>
      <c r="I149" s="628">
        <f t="shared" si="24"/>
        <v>0</v>
      </c>
      <c r="J149" s="505">
        <f t="shared" si="27"/>
        <v>0</v>
      </c>
      <c r="K149" s="505"/>
      <c r="L149" s="513"/>
      <c r="M149" s="505">
        <f t="shared" si="28"/>
        <v>0</v>
      </c>
      <c r="N149" s="513"/>
      <c r="O149" s="505">
        <f t="shared" si="29"/>
        <v>0</v>
      </c>
      <c r="P149" s="505">
        <f t="shared" si="30"/>
        <v>0</v>
      </c>
    </row>
    <row r="150" spans="2:16">
      <c r="B150" s="145" t="str">
        <f t="shared" si="15"/>
        <v/>
      </c>
      <c r="C150" s="496">
        <f>IF(D94="","-",+C149+1)</f>
        <v>2067</v>
      </c>
      <c r="D150" s="350">
        <f>IF(F149+SUM(E$100:E149)=D$93,F149,D$93-SUM(E$100:E149))</f>
        <v>0</v>
      </c>
      <c r="E150" s="510">
        <f t="shared" si="31"/>
        <v>0</v>
      </c>
      <c r="F150" s="511">
        <f t="shared" si="25"/>
        <v>0</v>
      </c>
      <c r="G150" s="511">
        <f t="shared" si="26"/>
        <v>0</v>
      </c>
      <c r="H150" s="646">
        <f t="shared" si="23"/>
        <v>0</v>
      </c>
      <c r="I150" s="628">
        <f t="shared" si="24"/>
        <v>0</v>
      </c>
      <c r="J150" s="505">
        <f t="shared" si="27"/>
        <v>0</v>
      </c>
      <c r="K150" s="505"/>
      <c r="L150" s="513"/>
      <c r="M150" s="505">
        <f t="shared" si="28"/>
        <v>0</v>
      </c>
      <c r="N150" s="513"/>
      <c r="O150" s="505">
        <f t="shared" si="29"/>
        <v>0</v>
      </c>
      <c r="P150" s="505">
        <f t="shared" si="30"/>
        <v>0</v>
      </c>
    </row>
    <row r="151" spans="2:16">
      <c r="B151" s="145" t="str">
        <f t="shared" si="15"/>
        <v/>
      </c>
      <c r="C151" s="496">
        <f>IF(D94="","-",+C150+1)</f>
        <v>2068</v>
      </c>
      <c r="D151" s="350">
        <f>IF(F150+SUM(E$100:E150)=D$93,F150,D$93-SUM(E$100:E150))</f>
        <v>0</v>
      </c>
      <c r="E151" s="510">
        <f t="shared" si="31"/>
        <v>0</v>
      </c>
      <c r="F151" s="511">
        <f t="shared" si="25"/>
        <v>0</v>
      </c>
      <c r="G151" s="511">
        <f t="shared" si="26"/>
        <v>0</v>
      </c>
      <c r="H151" s="646">
        <f t="shared" si="23"/>
        <v>0</v>
      </c>
      <c r="I151" s="628">
        <f t="shared" si="24"/>
        <v>0</v>
      </c>
      <c r="J151" s="505">
        <f t="shared" si="27"/>
        <v>0</v>
      </c>
      <c r="K151" s="505"/>
      <c r="L151" s="513"/>
      <c r="M151" s="505">
        <f t="shared" si="28"/>
        <v>0</v>
      </c>
      <c r="N151" s="513"/>
      <c r="O151" s="505">
        <f t="shared" si="29"/>
        <v>0</v>
      </c>
      <c r="P151" s="505">
        <f t="shared" si="30"/>
        <v>0</v>
      </c>
    </row>
    <row r="152" spans="2:16">
      <c r="B152" s="145" t="str">
        <f t="shared" si="15"/>
        <v/>
      </c>
      <c r="C152" s="496">
        <f>IF(D94="","-",+C151+1)</f>
        <v>2069</v>
      </c>
      <c r="D152" s="350">
        <f>IF(F151+SUM(E$100:E151)=D$93,F151,D$93-SUM(E$100:E151))</f>
        <v>0</v>
      </c>
      <c r="E152" s="510">
        <f t="shared" si="31"/>
        <v>0</v>
      </c>
      <c r="F152" s="511">
        <f t="shared" si="25"/>
        <v>0</v>
      </c>
      <c r="G152" s="511">
        <f t="shared" si="26"/>
        <v>0</v>
      </c>
      <c r="H152" s="646">
        <f t="shared" si="23"/>
        <v>0</v>
      </c>
      <c r="I152" s="628">
        <f t="shared" si="24"/>
        <v>0</v>
      </c>
      <c r="J152" s="505">
        <f t="shared" si="27"/>
        <v>0</v>
      </c>
      <c r="K152" s="505"/>
      <c r="L152" s="513"/>
      <c r="M152" s="505">
        <f t="shared" si="28"/>
        <v>0</v>
      </c>
      <c r="N152" s="513"/>
      <c r="O152" s="505">
        <f t="shared" si="29"/>
        <v>0</v>
      </c>
      <c r="P152" s="505">
        <f t="shared" si="30"/>
        <v>0</v>
      </c>
    </row>
    <row r="153" spans="2:16">
      <c r="B153" s="145" t="str">
        <f t="shared" si="15"/>
        <v/>
      </c>
      <c r="C153" s="496">
        <f>IF(D94="","-",+C152+1)</f>
        <v>2070</v>
      </c>
      <c r="D153" s="350">
        <f>IF(F152+SUM(E$100:E152)=D$93,F152,D$93-SUM(E$100:E152))</f>
        <v>0</v>
      </c>
      <c r="E153" s="510">
        <f t="shared" si="31"/>
        <v>0</v>
      </c>
      <c r="F153" s="511">
        <f t="shared" si="25"/>
        <v>0</v>
      </c>
      <c r="G153" s="511">
        <f t="shared" si="26"/>
        <v>0</v>
      </c>
      <c r="H153" s="646">
        <f t="shared" si="23"/>
        <v>0</v>
      </c>
      <c r="I153" s="628">
        <f t="shared" si="24"/>
        <v>0</v>
      </c>
      <c r="J153" s="505">
        <f t="shared" si="27"/>
        <v>0</v>
      </c>
      <c r="K153" s="505"/>
      <c r="L153" s="513"/>
      <c r="M153" s="505">
        <f t="shared" si="28"/>
        <v>0</v>
      </c>
      <c r="N153" s="513"/>
      <c r="O153" s="505">
        <f t="shared" si="29"/>
        <v>0</v>
      </c>
      <c r="P153" s="505">
        <f t="shared" si="30"/>
        <v>0</v>
      </c>
    </row>
    <row r="154" spans="2:16">
      <c r="B154" s="145" t="str">
        <f t="shared" si="15"/>
        <v/>
      </c>
      <c r="C154" s="496">
        <f>IF(D94="","-",+C153+1)</f>
        <v>2071</v>
      </c>
      <c r="D154" s="350">
        <f>IF(F153+SUM(E$100:E153)=D$93,F153,D$93-SUM(E$100:E153))</f>
        <v>0</v>
      </c>
      <c r="E154" s="510">
        <f t="shared" si="31"/>
        <v>0</v>
      </c>
      <c r="F154" s="511">
        <f t="shared" si="25"/>
        <v>0</v>
      </c>
      <c r="G154" s="511">
        <f t="shared" si="26"/>
        <v>0</v>
      </c>
      <c r="H154" s="646">
        <f t="shared" si="23"/>
        <v>0</v>
      </c>
      <c r="I154" s="628">
        <f t="shared" si="24"/>
        <v>0</v>
      </c>
      <c r="J154" s="505">
        <f t="shared" si="27"/>
        <v>0</v>
      </c>
      <c r="K154" s="505"/>
      <c r="L154" s="513"/>
      <c r="M154" s="505">
        <f t="shared" si="28"/>
        <v>0</v>
      </c>
      <c r="N154" s="513"/>
      <c r="O154" s="505">
        <f t="shared" si="29"/>
        <v>0</v>
      </c>
      <c r="P154" s="505">
        <f t="shared" si="30"/>
        <v>0</v>
      </c>
    </row>
    <row r="155" spans="2:16" ht="13.5" thickBot="1">
      <c r="B155" s="145" t="str">
        <f t="shared" si="15"/>
        <v/>
      </c>
      <c r="C155" s="525">
        <f>IF(D94="","-",+C154+1)</f>
        <v>2072</v>
      </c>
      <c r="D155" s="636">
        <f>IF(F154+SUM(E$100:E154)=D$93,F154,D$93-SUM(E$100:E154))</f>
        <v>0</v>
      </c>
      <c r="E155" s="527">
        <f t="shared" si="31"/>
        <v>0</v>
      </c>
      <c r="F155" s="528">
        <f t="shared" si="25"/>
        <v>0</v>
      </c>
      <c r="G155" s="528">
        <f t="shared" si="26"/>
        <v>0</v>
      </c>
      <c r="H155" s="646">
        <f t="shared" si="23"/>
        <v>0</v>
      </c>
      <c r="I155" s="624">
        <f t="shared" si="24"/>
        <v>0</v>
      </c>
      <c r="J155" s="532">
        <f t="shared" si="27"/>
        <v>0</v>
      </c>
      <c r="K155" s="505"/>
      <c r="L155" s="531"/>
      <c r="M155" s="532">
        <f t="shared" si="28"/>
        <v>0</v>
      </c>
      <c r="N155" s="531"/>
      <c r="O155" s="532">
        <f t="shared" si="29"/>
        <v>0</v>
      </c>
      <c r="P155" s="532">
        <f t="shared" si="30"/>
        <v>0</v>
      </c>
    </row>
    <row r="156" spans="2:16">
      <c r="C156" s="350" t="s">
        <v>75</v>
      </c>
      <c r="D156" s="295"/>
      <c r="E156" s="295">
        <f>SUM(E100:E155)</f>
        <v>87679479</v>
      </c>
      <c r="F156" s="295"/>
      <c r="G156" s="295"/>
      <c r="H156" s="295">
        <f>SUM(H100:H155)</f>
        <v>226262807.89097592</v>
      </c>
      <c r="I156" s="295">
        <f>SUM(I100:I155)</f>
        <v>226262807.89097592</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63"/>
  <sheetViews>
    <sheetView topLeftCell="A85" zoomScale="85" zoomScaleNormal="85"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18 of 20</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2056569.1179354885</v>
      </c>
      <c r="P5" s="244"/>
    </row>
    <row r="6" spans="1:16" ht="15.75">
      <c r="C6" s="236"/>
      <c r="D6" s="293"/>
      <c r="E6" s="244"/>
      <c r="F6" s="244"/>
      <c r="G6" s="244"/>
      <c r="H6" s="450"/>
      <c r="I6" s="450"/>
      <c r="J6" s="451"/>
      <c r="K6" s="452" t="s">
        <v>243</v>
      </c>
      <c r="L6" s="453"/>
      <c r="M6" s="279"/>
      <c r="N6" s="454">
        <f>VLOOKUP(I10,C17:I73,6)</f>
        <v>2056569.1179354885</v>
      </c>
      <c r="O6" s="244"/>
      <c r="P6" s="244"/>
    </row>
    <row r="7" spans="1:16" ht="13.5" thickBot="1">
      <c r="C7" s="455" t="s">
        <v>46</v>
      </c>
      <c r="D7" s="635" t="s">
        <v>270</v>
      </c>
      <c r="E7" s="244"/>
      <c r="F7" s="244"/>
      <c r="G7" s="244"/>
      <c r="H7" s="326"/>
      <c r="I7" s="326"/>
      <c r="J7" s="295"/>
      <c r="K7" s="457" t="s">
        <v>47</v>
      </c>
      <c r="L7" s="458"/>
      <c r="M7" s="458"/>
      <c r="N7" s="459">
        <f>+N6-N5</f>
        <v>0</v>
      </c>
      <c r="O7" s="244"/>
      <c r="P7" s="244"/>
    </row>
    <row r="8" spans="1:16" ht="13.5" thickBot="1">
      <c r="C8" s="460"/>
      <c r="D8" s="461"/>
      <c r="E8" s="462"/>
      <c r="F8" s="462"/>
      <c r="G8" s="462"/>
      <c r="H8" s="462"/>
      <c r="I8" s="462"/>
      <c r="J8" s="463"/>
      <c r="K8" s="462"/>
      <c r="L8" s="462"/>
      <c r="M8" s="462"/>
      <c r="N8" s="462"/>
      <c r="O8" s="463"/>
      <c r="P8" s="249"/>
    </row>
    <row r="9" spans="1:16" ht="13.5" thickBot="1">
      <c r="C9" s="464" t="s">
        <v>48</v>
      </c>
      <c r="D9" s="465" t="s">
        <v>269</v>
      </c>
      <c r="E9" s="466"/>
      <c r="F9" s="466"/>
      <c r="G9" s="466"/>
      <c r="H9" s="466"/>
      <c r="I9" s="467"/>
      <c r="J9" s="468"/>
      <c r="O9" s="469"/>
      <c r="P9" s="279"/>
    </row>
    <row r="10" spans="1:16">
      <c r="C10" s="470" t="s">
        <v>49</v>
      </c>
      <c r="D10" s="471">
        <v>17093290</v>
      </c>
      <c r="E10" s="300" t="s">
        <v>50</v>
      </c>
      <c r="F10" s="469"/>
      <c r="G10" s="409"/>
      <c r="H10" s="409"/>
      <c r="I10" s="472">
        <f>+'OKT.WS.F.BPU.ATRR.Projected'!R100</f>
        <v>2020</v>
      </c>
      <c r="J10" s="468"/>
      <c r="K10" s="295" t="s">
        <v>51</v>
      </c>
      <c r="O10" s="279"/>
      <c r="P10" s="279"/>
    </row>
    <row r="11" spans="1:16">
      <c r="C11" s="473" t="s">
        <v>52</v>
      </c>
      <c r="D11" s="474">
        <v>2018</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12</v>
      </c>
      <c r="E12" s="473" t="s">
        <v>55</v>
      </c>
      <c r="F12" s="409"/>
      <c r="G12" s="221"/>
      <c r="H12" s="221"/>
      <c r="I12" s="477">
        <f>'OKT.WS.F.BPU.ATRR.Projected'!$F$78</f>
        <v>0.1064171487591708</v>
      </c>
      <c r="J12" s="414"/>
      <c r="K12" s="145" t="s">
        <v>56</v>
      </c>
      <c r="O12" s="279"/>
      <c r="P12" s="279"/>
    </row>
    <row r="13" spans="1:16">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5" thickBot="1">
      <c r="C14" s="473" t="s">
        <v>60</v>
      </c>
      <c r="D14" s="474" t="s">
        <v>61</v>
      </c>
      <c r="E14" s="279" t="s">
        <v>62</v>
      </c>
      <c r="F14" s="409"/>
      <c r="G14" s="221"/>
      <c r="H14" s="221"/>
      <c r="I14" s="478">
        <f>IF(D10=0,0,D10/D13)</f>
        <v>502743.82352941175</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2018</v>
      </c>
      <c r="D17" s="639">
        <v>8422478.0275623277</v>
      </c>
      <c r="E17" s="640">
        <v>210700.54229669485</v>
      </c>
      <c r="F17" s="641">
        <v>8211777.4852656331</v>
      </c>
      <c r="G17" s="640">
        <v>1187888.4238656519</v>
      </c>
      <c r="H17" s="642">
        <v>1187888.4238656519</v>
      </c>
      <c r="I17" s="501">
        <f t="shared" ref="I17:I71" si="1">H17-G17</f>
        <v>0</v>
      </c>
      <c r="J17" s="501"/>
      <c r="K17" s="502">
        <f>+G17</f>
        <v>1187888.4238656519</v>
      </c>
      <c r="L17" s="504">
        <f t="shared" ref="L17:L71" si="2">IF(K17&lt;&gt;0,+G17-K17,0)</f>
        <v>0</v>
      </c>
      <c r="M17" s="502">
        <f>+H17</f>
        <v>1187888.4238656519</v>
      </c>
      <c r="N17" s="504">
        <f t="shared" ref="N17:N71" si="3">IF(M17&lt;&gt;0,+H17-M17,0)</f>
        <v>0</v>
      </c>
      <c r="O17" s="505">
        <f t="shared" ref="O17:O71" si="4">+N17-L17</f>
        <v>0</v>
      </c>
      <c r="P17" s="279"/>
    </row>
    <row r="18" spans="2:16">
      <c r="B18" s="145" t="str">
        <f t="shared" si="0"/>
        <v/>
      </c>
      <c r="C18" s="496">
        <f>IF(D11="","-",+C17+1)</f>
        <v>2019</v>
      </c>
      <c r="D18" s="647">
        <v>8211777.4852656331</v>
      </c>
      <c r="E18" s="648">
        <v>210700.54229669485</v>
      </c>
      <c r="F18" s="647">
        <v>8001076.9429689385</v>
      </c>
      <c r="G18" s="648">
        <v>1163133.0007673886</v>
      </c>
      <c r="H18" s="649">
        <v>1163133.0007673886</v>
      </c>
      <c r="I18" s="501">
        <f t="shared" si="1"/>
        <v>0</v>
      </c>
      <c r="J18" s="501"/>
      <c r="K18" s="593">
        <f>+G18</f>
        <v>1163133.0007673886</v>
      </c>
      <c r="L18" s="597">
        <f t="shared" si="2"/>
        <v>0</v>
      </c>
      <c r="M18" s="593">
        <f>+H18</f>
        <v>1163133.0007673886</v>
      </c>
      <c r="N18" s="505">
        <f t="shared" si="3"/>
        <v>0</v>
      </c>
      <c r="O18" s="505">
        <f t="shared" si="4"/>
        <v>0</v>
      </c>
      <c r="P18" s="279"/>
    </row>
    <row r="19" spans="2:16">
      <c r="B19" s="145" t="str">
        <f t="shared" si="0"/>
        <v>IU</v>
      </c>
      <c r="C19" s="496">
        <f>IF(D11="","-",+C18+1)</f>
        <v>2020</v>
      </c>
      <c r="D19" s="647">
        <v>15412336.915406611</v>
      </c>
      <c r="E19" s="648">
        <v>463640.04013383167</v>
      </c>
      <c r="F19" s="647">
        <v>14948696.875272779</v>
      </c>
      <c r="G19" s="648">
        <v>2056569.1179354885</v>
      </c>
      <c r="H19" s="649">
        <v>2056569.1179354885</v>
      </c>
      <c r="I19" s="501">
        <f t="shared" si="1"/>
        <v>0</v>
      </c>
      <c r="J19" s="501"/>
      <c r="K19" s="593">
        <f>+G19</f>
        <v>2056569.1179354885</v>
      </c>
      <c r="L19" s="597">
        <f t="shared" ref="L19" si="5">IF(K19&lt;&gt;0,+G19-K19,0)</f>
        <v>0</v>
      </c>
      <c r="M19" s="593">
        <f>+H19</f>
        <v>2056569.1179354885</v>
      </c>
      <c r="N19" s="505">
        <f t="shared" si="3"/>
        <v>0</v>
      </c>
      <c r="O19" s="505">
        <f t="shared" si="4"/>
        <v>0</v>
      </c>
      <c r="P19" s="279"/>
    </row>
    <row r="20" spans="2:16">
      <c r="B20" s="145" t="str">
        <f t="shared" si="0"/>
        <v>IU</v>
      </c>
      <c r="C20" s="496">
        <f>IF(D11="","-",+C19+1)</f>
        <v>2021</v>
      </c>
      <c r="D20" s="509">
        <v>15187426.611313635</v>
      </c>
      <c r="E20" s="510">
        <v>386188.73170731706</v>
      </c>
      <c r="F20" s="511">
        <v>14801237.879606318</v>
      </c>
      <c r="G20" s="512">
        <v>2147888.2260048082</v>
      </c>
      <c r="H20" s="478">
        <v>2147888.2260048082</v>
      </c>
      <c r="I20" s="501">
        <f t="shared" si="1"/>
        <v>0</v>
      </c>
      <c r="J20" s="501"/>
      <c r="K20" s="593">
        <f>+G20</f>
        <v>2147888.2260048082</v>
      </c>
      <c r="L20" s="597">
        <f t="shared" ref="L20" si="6">IF(K20&lt;&gt;0,+G20-K20,0)</f>
        <v>0</v>
      </c>
      <c r="M20" s="593">
        <f>+H20</f>
        <v>2147888.2260048082</v>
      </c>
      <c r="N20" s="505">
        <f t="shared" si="3"/>
        <v>0</v>
      </c>
      <c r="O20" s="505">
        <f t="shared" si="4"/>
        <v>0</v>
      </c>
      <c r="P20" s="279"/>
    </row>
    <row r="21" spans="2:16">
      <c r="B21" s="145" t="str">
        <f t="shared" si="0"/>
        <v>IU</v>
      </c>
      <c r="C21" s="496">
        <f>IF(D11="","-",+C20+1)</f>
        <v>2022</v>
      </c>
      <c r="D21" s="509">
        <f>IF(F20+SUM(E$17:E20)=D$10,F20,D$10-SUM(E$17:E20))</f>
        <v>15822060.143565461</v>
      </c>
      <c r="E21" s="510">
        <f t="shared" ref="E21:E71" si="7">IF(+I$14&lt;F20,I$14,D21)</f>
        <v>502743.82352941175</v>
      </c>
      <c r="F21" s="511">
        <f t="shared" ref="F21:F71" si="8">+D21-E21</f>
        <v>15319316.32003605</v>
      </c>
      <c r="G21" s="512">
        <f t="shared" ref="G21:G71" si="9">(D21+F21)/2*I$12+E21</f>
        <v>2159732.069375623</v>
      </c>
      <c r="H21" s="478">
        <f t="shared" ref="H21:H71" si="10">+(D21+F21)/2*I$13+E21</f>
        <v>2159732.069375623</v>
      </c>
      <c r="I21" s="501">
        <f t="shared" si="1"/>
        <v>0</v>
      </c>
      <c r="J21" s="501"/>
      <c r="K21" s="513"/>
      <c r="L21" s="505">
        <f t="shared" si="2"/>
        <v>0</v>
      </c>
      <c r="M21" s="513"/>
      <c r="N21" s="505">
        <f t="shared" si="3"/>
        <v>0</v>
      </c>
      <c r="O21" s="505">
        <f t="shared" si="4"/>
        <v>0</v>
      </c>
      <c r="P21" s="279"/>
    </row>
    <row r="22" spans="2:16">
      <c r="B22" s="145" t="str">
        <f t="shared" si="0"/>
        <v/>
      </c>
      <c r="C22" s="496">
        <f>IF(D11="","-",+C21+1)</f>
        <v>2023</v>
      </c>
      <c r="D22" s="509">
        <f>IF(F21+SUM(E$17:E21)=D$10,F21,D$10-SUM(E$17:E21))</f>
        <v>15319316.32003605</v>
      </c>
      <c r="E22" s="510">
        <f t="shared" si="7"/>
        <v>502743.82352941175</v>
      </c>
      <c r="F22" s="511">
        <f t="shared" si="8"/>
        <v>14816572.496506639</v>
      </c>
      <c r="G22" s="512">
        <f t="shared" si="9"/>
        <v>2106231.5051193391</v>
      </c>
      <c r="H22" s="478">
        <f t="shared" si="10"/>
        <v>2106231.5051193391</v>
      </c>
      <c r="I22" s="501">
        <f t="shared" si="1"/>
        <v>0</v>
      </c>
      <c r="J22" s="501"/>
      <c r="K22" s="513"/>
      <c r="L22" s="505">
        <f t="shared" si="2"/>
        <v>0</v>
      </c>
      <c r="M22" s="513"/>
      <c r="N22" s="505">
        <f t="shared" si="3"/>
        <v>0</v>
      </c>
      <c r="O22" s="505">
        <f t="shared" si="4"/>
        <v>0</v>
      </c>
      <c r="P22" s="279"/>
    </row>
    <row r="23" spans="2:16">
      <c r="B23" s="145" t="str">
        <f t="shared" si="0"/>
        <v/>
      </c>
      <c r="C23" s="496">
        <f>IF(D11="","-",+C22+1)</f>
        <v>2024</v>
      </c>
      <c r="D23" s="509">
        <f>IF(F22+SUM(E$17:E22)=D$10,F22,D$10-SUM(E$17:E22))</f>
        <v>14816572.496506639</v>
      </c>
      <c r="E23" s="510">
        <f t="shared" si="7"/>
        <v>502743.82352941175</v>
      </c>
      <c r="F23" s="511">
        <f t="shared" si="8"/>
        <v>14313828.672977228</v>
      </c>
      <c r="G23" s="512">
        <f t="shared" si="9"/>
        <v>2052730.9408630556</v>
      </c>
      <c r="H23" s="478">
        <f t="shared" si="10"/>
        <v>2052730.9408630556</v>
      </c>
      <c r="I23" s="501">
        <f t="shared" si="1"/>
        <v>0</v>
      </c>
      <c r="J23" s="501"/>
      <c r="K23" s="513"/>
      <c r="L23" s="505">
        <f t="shared" si="2"/>
        <v>0</v>
      </c>
      <c r="M23" s="513"/>
      <c r="N23" s="505">
        <f t="shared" si="3"/>
        <v>0</v>
      </c>
      <c r="O23" s="505">
        <f t="shared" si="4"/>
        <v>0</v>
      </c>
      <c r="P23" s="279"/>
    </row>
    <row r="24" spans="2:16">
      <c r="B24" s="145" t="str">
        <f t="shared" si="0"/>
        <v/>
      </c>
      <c r="C24" s="496">
        <f>IF(D11="","-",+C23+1)</f>
        <v>2025</v>
      </c>
      <c r="D24" s="509">
        <f>IF(F23+SUM(E$17:E23)=D$10,F23,D$10-SUM(E$17:E23))</f>
        <v>14313828.672977228</v>
      </c>
      <c r="E24" s="510">
        <f t="shared" si="7"/>
        <v>502743.82352941175</v>
      </c>
      <c r="F24" s="511">
        <f t="shared" si="8"/>
        <v>13811084.849447817</v>
      </c>
      <c r="G24" s="512">
        <f t="shared" si="9"/>
        <v>1999230.376606772</v>
      </c>
      <c r="H24" s="478">
        <f t="shared" si="10"/>
        <v>1999230.376606772</v>
      </c>
      <c r="I24" s="501">
        <f t="shared" si="1"/>
        <v>0</v>
      </c>
      <c r="J24" s="501"/>
      <c r="K24" s="513"/>
      <c r="L24" s="505">
        <f t="shared" si="2"/>
        <v>0</v>
      </c>
      <c r="M24" s="513"/>
      <c r="N24" s="505">
        <f t="shared" si="3"/>
        <v>0</v>
      </c>
      <c r="O24" s="505">
        <f t="shared" si="4"/>
        <v>0</v>
      </c>
      <c r="P24" s="279"/>
    </row>
    <row r="25" spans="2:16">
      <c r="B25" s="145" t="str">
        <f t="shared" si="0"/>
        <v/>
      </c>
      <c r="C25" s="496">
        <f>IF(D11="","-",+C24+1)</f>
        <v>2026</v>
      </c>
      <c r="D25" s="509">
        <f>IF(F24+SUM(E$17:E24)=D$10,F24,D$10-SUM(E$17:E24))</f>
        <v>13811084.849447817</v>
      </c>
      <c r="E25" s="510">
        <f t="shared" si="7"/>
        <v>502743.82352941175</v>
      </c>
      <c r="F25" s="511">
        <f t="shared" si="8"/>
        <v>13308341.025918406</v>
      </c>
      <c r="G25" s="512">
        <f t="shared" si="9"/>
        <v>1945729.8123504883</v>
      </c>
      <c r="H25" s="478">
        <f t="shared" si="10"/>
        <v>1945729.8123504883</v>
      </c>
      <c r="I25" s="501">
        <f t="shared" si="1"/>
        <v>0</v>
      </c>
      <c r="J25" s="501"/>
      <c r="K25" s="513"/>
      <c r="L25" s="505">
        <f t="shared" si="2"/>
        <v>0</v>
      </c>
      <c r="M25" s="513"/>
      <c r="N25" s="505">
        <f t="shared" si="3"/>
        <v>0</v>
      </c>
      <c r="O25" s="505">
        <f t="shared" si="4"/>
        <v>0</v>
      </c>
      <c r="P25" s="279"/>
    </row>
    <row r="26" spans="2:16">
      <c r="B26" s="145" t="str">
        <f t="shared" si="0"/>
        <v/>
      </c>
      <c r="C26" s="496">
        <f>IF(D11="","-",+C25+1)</f>
        <v>2027</v>
      </c>
      <c r="D26" s="509">
        <f>IF(F25+SUM(E$17:E25)=D$10,F25,D$10-SUM(E$17:E25))</f>
        <v>13308341.025918406</v>
      </c>
      <c r="E26" s="510">
        <f t="shared" si="7"/>
        <v>502743.82352941175</v>
      </c>
      <c r="F26" s="511">
        <f t="shared" si="8"/>
        <v>12805597.202388994</v>
      </c>
      <c r="G26" s="512">
        <f t="shared" si="9"/>
        <v>1892229.2480942046</v>
      </c>
      <c r="H26" s="478">
        <f t="shared" si="10"/>
        <v>1892229.2480942046</v>
      </c>
      <c r="I26" s="501">
        <f t="shared" si="1"/>
        <v>0</v>
      </c>
      <c r="J26" s="501"/>
      <c r="K26" s="513"/>
      <c r="L26" s="505">
        <f t="shared" si="2"/>
        <v>0</v>
      </c>
      <c r="M26" s="513"/>
      <c r="N26" s="505">
        <f t="shared" si="3"/>
        <v>0</v>
      </c>
      <c r="O26" s="505">
        <f t="shared" si="4"/>
        <v>0</v>
      </c>
      <c r="P26" s="279"/>
    </row>
    <row r="27" spans="2:16">
      <c r="B27" s="145" t="str">
        <f t="shared" si="0"/>
        <v/>
      </c>
      <c r="C27" s="496">
        <f>IF(D11="","-",+C26+1)</f>
        <v>2028</v>
      </c>
      <c r="D27" s="509">
        <f>IF(F26+SUM(E$17:E26)=D$10,F26,D$10-SUM(E$17:E26))</f>
        <v>12805597.202388994</v>
      </c>
      <c r="E27" s="510">
        <f t="shared" si="7"/>
        <v>502743.82352941175</v>
      </c>
      <c r="F27" s="511">
        <f t="shared" si="8"/>
        <v>12302853.378859583</v>
      </c>
      <c r="G27" s="512">
        <f t="shared" si="9"/>
        <v>1838728.6838379209</v>
      </c>
      <c r="H27" s="478">
        <f t="shared" si="10"/>
        <v>1838728.6838379209</v>
      </c>
      <c r="I27" s="501">
        <f t="shared" si="1"/>
        <v>0</v>
      </c>
      <c r="J27" s="501"/>
      <c r="K27" s="513"/>
      <c r="L27" s="505">
        <f t="shared" si="2"/>
        <v>0</v>
      </c>
      <c r="M27" s="513"/>
      <c r="N27" s="505">
        <f t="shared" si="3"/>
        <v>0</v>
      </c>
      <c r="O27" s="505">
        <f t="shared" si="4"/>
        <v>0</v>
      </c>
      <c r="P27" s="279"/>
    </row>
    <row r="28" spans="2:16">
      <c r="B28" s="145" t="str">
        <f t="shared" si="0"/>
        <v/>
      </c>
      <c r="C28" s="496">
        <f>IF(D11="","-",+C27+1)</f>
        <v>2029</v>
      </c>
      <c r="D28" s="509">
        <f>IF(F27+SUM(E$17:E27)=D$10,F27,D$10-SUM(E$17:E27))</f>
        <v>12302853.378859583</v>
      </c>
      <c r="E28" s="510">
        <f t="shared" si="7"/>
        <v>502743.82352941175</v>
      </c>
      <c r="F28" s="511">
        <f t="shared" si="8"/>
        <v>11800109.555330172</v>
      </c>
      <c r="G28" s="512">
        <f t="shared" si="9"/>
        <v>1785228.1195816374</v>
      </c>
      <c r="H28" s="478">
        <f t="shared" si="10"/>
        <v>1785228.1195816374</v>
      </c>
      <c r="I28" s="501">
        <f t="shared" si="1"/>
        <v>0</v>
      </c>
      <c r="J28" s="501"/>
      <c r="K28" s="513"/>
      <c r="L28" s="505">
        <f t="shared" si="2"/>
        <v>0</v>
      </c>
      <c r="M28" s="513"/>
      <c r="N28" s="505">
        <f t="shared" si="3"/>
        <v>0</v>
      </c>
      <c r="O28" s="505">
        <f t="shared" si="4"/>
        <v>0</v>
      </c>
      <c r="P28" s="279"/>
    </row>
    <row r="29" spans="2:16">
      <c r="B29" s="145" t="str">
        <f t="shared" si="0"/>
        <v/>
      </c>
      <c r="C29" s="496">
        <f>IF(D11="","-",+C28+1)</f>
        <v>2030</v>
      </c>
      <c r="D29" s="509">
        <f>IF(F28+SUM(E$17:E28)=D$10,F28,D$10-SUM(E$17:E28))</f>
        <v>11800109.555330172</v>
      </c>
      <c r="E29" s="510">
        <f t="shared" si="7"/>
        <v>502743.82352941175</v>
      </c>
      <c r="F29" s="511">
        <f t="shared" si="8"/>
        <v>11297365.731800761</v>
      </c>
      <c r="G29" s="512">
        <f t="shared" si="9"/>
        <v>1731727.5553253538</v>
      </c>
      <c r="H29" s="478">
        <f t="shared" si="10"/>
        <v>1731727.5553253538</v>
      </c>
      <c r="I29" s="501">
        <f t="shared" si="1"/>
        <v>0</v>
      </c>
      <c r="J29" s="501"/>
      <c r="K29" s="513"/>
      <c r="L29" s="505">
        <f t="shared" si="2"/>
        <v>0</v>
      </c>
      <c r="M29" s="513"/>
      <c r="N29" s="505">
        <f t="shared" si="3"/>
        <v>0</v>
      </c>
      <c r="O29" s="505">
        <f t="shared" si="4"/>
        <v>0</v>
      </c>
      <c r="P29" s="279"/>
    </row>
    <row r="30" spans="2:16">
      <c r="B30" s="145" t="str">
        <f t="shared" si="0"/>
        <v/>
      </c>
      <c r="C30" s="496">
        <f>IF(D11="","-",+C29+1)</f>
        <v>2031</v>
      </c>
      <c r="D30" s="509">
        <f>IF(F29+SUM(E$17:E29)=D$10,F29,D$10-SUM(E$17:E29))</f>
        <v>11297365.731800761</v>
      </c>
      <c r="E30" s="510">
        <f t="shared" si="7"/>
        <v>502743.82352941175</v>
      </c>
      <c r="F30" s="511">
        <f t="shared" si="8"/>
        <v>10794621.90827135</v>
      </c>
      <c r="G30" s="512">
        <f t="shared" si="9"/>
        <v>1678226.9910690701</v>
      </c>
      <c r="H30" s="478">
        <f t="shared" si="10"/>
        <v>1678226.9910690701</v>
      </c>
      <c r="I30" s="501">
        <f t="shared" si="1"/>
        <v>0</v>
      </c>
      <c r="J30" s="501"/>
      <c r="K30" s="513"/>
      <c r="L30" s="505">
        <f t="shared" si="2"/>
        <v>0</v>
      </c>
      <c r="M30" s="513"/>
      <c r="N30" s="505">
        <f t="shared" si="3"/>
        <v>0</v>
      </c>
      <c r="O30" s="505">
        <f t="shared" si="4"/>
        <v>0</v>
      </c>
      <c r="P30" s="279"/>
    </row>
    <row r="31" spans="2:16">
      <c r="B31" s="145" t="str">
        <f t="shared" si="0"/>
        <v/>
      </c>
      <c r="C31" s="496">
        <f>IF(D11="","-",+C30+1)</f>
        <v>2032</v>
      </c>
      <c r="D31" s="509">
        <f>IF(F30+SUM(E$17:E30)=D$10,F30,D$10-SUM(E$17:E30))</f>
        <v>10794621.90827135</v>
      </c>
      <c r="E31" s="510">
        <f t="shared" si="7"/>
        <v>502743.82352941175</v>
      </c>
      <c r="F31" s="511">
        <f t="shared" si="8"/>
        <v>10291878.084741939</v>
      </c>
      <c r="G31" s="512">
        <f t="shared" si="9"/>
        <v>1624726.4268127864</v>
      </c>
      <c r="H31" s="478">
        <f t="shared" si="10"/>
        <v>1624726.4268127864</v>
      </c>
      <c r="I31" s="501">
        <f t="shared" si="1"/>
        <v>0</v>
      </c>
      <c r="J31" s="501"/>
      <c r="K31" s="513"/>
      <c r="L31" s="505">
        <f t="shared" si="2"/>
        <v>0</v>
      </c>
      <c r="M31" s="513"/>
      <c r="N31" s="505">
        <f t="shared" si="3"/>
        <v>0</v>
      </c>
      <c r="O31" s="505">
        <f t="shared" si="4"/>
        <v>0</v>
      </c>
      <c r="P31" s="279"/>
    </row>
    <row r="32" spans="2:16">
      <c r="B32" s="145" t="str">
        <f t="shared" si="0"/>
        <v/>
      </c>
      <c r="C32" s="496">
        <f>IF(D11="","-",+C31+1)</f>
        <v>2033</v>
      </c>
      <c r="D32" s="509">
        <f>IF(F31+SUM(E$17:E31)=D$10,F31,D$10-SUM(E$17:E31))</f>
        <v>10291878.084741939</v>
      </c>
      <c r="E32" s="510">
        <f t="shared" si="7"/>
        <v>502743.82352941175</v>
      </c>
      <c r="F32" s="511">
        <f t="shared" si="8"/>
        <v>9789134.2612125278</v>
      </c>
      <c r="G32" s="512">
        <f t="shared" si="9"/>
        <v>1571225.8625565027</v>
      </c>
      <c r="H32" s="478">
        <f t="shared" si="10"/>
        <v>1571225.8625565027</v>
      </c>
      <c r="I32" s="501">
        <f t="shared" si="1"/>
        <v>0</v>
      </c>
      <c r="J32" s="501"/>
      <c r="K32" s="513"/>
      <c r="L32" s="505">
        <f t="shared" si="2"/>
        <v>0</v>
      </c>
      <c r="M32" s="513"/>
      <c r="N32" s="505">
        <f t="shared" si="3"/>
        <v>0</v>
      </c>
      <c r="O32" s="505">
        <f t="shared" si="4"/>
        <v>0</v>
      </c>
      <c r="P32" s="279"/>
    </row>
    <row r="33" spans="2:16">
      <c r="B33" s="145" t="str">
        <f t="shared" si="0"/>
        <v/>
      </c>
      <c r="C33" s="496">
        <f>IF(D11="","-",+C32+1)</f>
        <v>2034</v>
      </c>
      <c r="D33" s="509">
        <f>IF(F32+SUM(E$17:E32)=D$10,F32,D$10-SUM(E$17:E32))</f>
        <v>9789134.2612125278</v>
      </c>
      <c r="E33" s="510">
        <f t="shared" si="7"/>
        <v>502743.82352941175</v>
      </c>
      <c r="F33" s="511">
        <f t="shared" si="8"/>
        <v>9286390.4376831166</v>
      </c>
      <c r="G33" s="512">
        <f t="shared" si="9"/>
        <v>1517725.298300219</v>
      </c>
      <c r="H33" s="478">
        <f t="shared" si="10"/>
        <v>1517725.298300219</v>
      </c>
      <c r="I33" s="501">
        <f t="shared" si="1"/>
        <v>0</v>
      </c>
      <c r="J33" s="501"/>
      <c r="K33" s="513"/>
      <c r="L33" s="505">
        <f t="shared" si="2"/>
        <v>0</v>
      </c>
      <c r="M33" s="513"/>
      <c r="N33" s="505">
        <f t="shared" si="3"/>
        <v>0</v>
      </c>
      <c r="O33" s="505">
        <f t="shared" si="4"/>
        <v>0</v>
      </c>
      <c r="P33" s="279"/>
    </row>
    <row r="34" spans="2:16">
      <c r="B34" s="145" t="str">
        <f t="shared" si="0"/>
        <v/>
      </c>
      <c r="C34" s="496">
        <f>IF(D11="","-",+C33+1)</f>
        <v>2035</v>
      </c>
      <c r="D34" s="509">
        <f>IF(F33+SUM(E$17:E33)=D$10,F33,D$10-SUM(E$17:E33))</f>
        <v>9286390.4376831166</v>
      </c>
      <c r="E34" s="510">
        <f t="shared" si="7"/>
        <v>502743.82352941175</v>
      </c>
      <c r="F34" s="511">
        <f t="shared" si="8"/>
        <v>8783646.6141537055</v>
      </c>
      <c r="G34" s="512">
        <f t="shared" si="9"/>
        <v>1464224.7340439353</v>
      </c>
      <c r="H34" s="478">
        <f t="shared" si="10"/>
        <v>1464224.7340439353</v>
      </c>
      <c r="I34" s="501">
        <f t="shared" si="1"/>
        <v>0</v>
      </c>
      <c r="J34" s="501"/>
      <c r="K34" s="513"/>
      <c r="L34" s="505">
        <f t="shared" si="2"/>
        <v>0</v>
      </c>
      <c r="M34" s="513"/>
      <c r="N34" s="505">
        <f t="shared" si="3"/>
        <v>0</v>
      </c>
      <c r="O34" s="505">
        <f t="shared" si="4"/>
        <v>0</v>
      </c>
      <c r="P34" s="279"/>
    </row>
    <row r="35" spans="2:16">
      <c r="B35" s="145" t="str">
        <f t="shared" si="0"/>
        <v/>
      </c>
      <c r="C35" s="496">
        <f>IF(D11="","-",+C34+1)</f>
        <v>2036</v>
      </c>
      <c r="D35" s="509">
        <f>IF(F34+SUM(E$17:E34)=D$10,F34,D$10-SUM(E$17:E34))</f>
        <v>8783646.6141537055</v>
      </c>
      <c r="E35" s="510">
        <f t="shared" si="7"/>
        <v>502743.82352941175</v>
      </c>
      <c r="F35" s="511">
        <f t="shared" si="8"/>
        <v>8280902.7906242935</v>
      </c>
      <c r="G35" s="512">
        <f t="shared" si="9"/>
        <v>1410724.1697876516</v>
      </c>
      <c r="H35" s="478">
        <f t="shared" si="10"/>
        <v>1410724.1697876516</v>
      </c>
      <c r="I35" s="501">
        <f t="shared" si="1"/>
        <v>0</v>
      </c>
      <c r="J35" s="501"/>
      <c r="K35" s="513"/>
      <c r="L35" s="505">
        <f t="shared" si="2"/>
        <v>0</v>
      </c>
      <c r="M35" s="513"/>
      <c r="N35" s="505">
        <f t="shared" si="3"/>
        <v>0</v>
      </c>
      <c r="O35" s="505">
        <f t="shared" si="4"/>
        <v>0</v>
      </c>
      <c r="P35" s="279"/>
    </row>
    <row r="36" spans="2:16">
      <c r="B36" s="145" t="str">
        <f t="shared" si="0"/>
        <v/>
      </c>
      <c r="C36" s="496">
        <f>IF(D11="","-",+C35+1)</f>
        <v>2037</v>
      </c>
      <c r="D36" s="509">
        <f>IF(F35+SUM(E$17:E35)=D$10,F35,D$10-SUM(E$17:E35))</f>
        <v>8280902.7906242935</v>
      </c>
      <c r="E36" s="510">
        <f t="shared" si="7"/>
        <v>502743.82352941175</v>
      </c>
      <c r="F36" s="511">
        <f t="shared" si="8"/>
        <v>7778158.9670948815</v>
      </c>
      <c r="G36" s="512">
        <f t="shared" si="9"/>
        <v>1357223.6055313679</v>
      </c>
      <c r="H36" s="478">
        <f t="shared" si="10"/>
        <v>1357223.6055313679</v>
      </c>
      <c r="I36" s="501">
        <f t="shared" si="1"/>
        <v>0</v>
      </c>
      <c r="J36" s="501"/>
      <c r="K36" s="513"/>
      <c r="L36" s="505">
        <f t="shared" si="2"/>
        <v>0</v>
      </c>
      <c r="M36" s="513"/>
      <c r="N36" s="505">
        <f t="shared" si="3"/>
        <v>0</v>
      </c>
      <c r="O36" s="505">
        <f t="shared" si="4"/>
        <v>0</v>
      </c>
      <c r="P36" s="279"/>
    </row>
    <row r="37" spans="2:16">
      <c r="B37" s="145" t="str">
        <f t="shared" si="0"/>
        <v/>
      </c>
      <c r="C37" s="496">
        <f>IF(D11="","-",+C36+1)</f>
        <v>2038</v>
      </c>
      <c r="D37" s="509">
        <f>IF(F36+SUM(E$17:E36)=D$10,F36,D$10-SUM(E$17:E36))</f>
        <v>7778158.9670948815</v>
      </c>
      <c r="E37" s="510">
        <f t="shared" si="7"/>
        <v>502743.82352941175</v>
      </c>
      <c r="F37" s="511">
        <f t="shared" si="8"/>
        <v>7275415.1435654694</v>
      </c>
      <c r="G37" s="512">
        <f t="shared" si="9"/>
        <v>1303723.0412750843</v>
      </c>
      <c r="H37" s="478">
        <f t="shared" si="10"/>
        <v>1303723.0412750843</v>
      </c>
      <c r="I37" s="501">
        <f t="shared" si="1"/>
        <v>0</v>
      </c>
      <c r="J37" s="501"/>
      <c r="K37" s="513"/>
      <c r="L37" s="505">
        <f t="shared" si="2"/>
        <v>0</v>
      </c>
      <c r="M37" s="513"/>
      <c r="N37" s="505">
        <f t="shared" si="3"/>
        <v>0</v>
      </c>
      <c r="O37" s="505">
        <f t="shared" si="4"/>
        <v>0</v>
      </c>
      <c r="P37" s="279"/>
    </row>
    <row r="38" spans="2:16">
      <c r="B38" s="145" t="str">
        <f t="shared" si="0"/>
        <v/>
      </c>
      <c r="C38" s="496">
        <f>IF(D11="","-",+C37+1)</f>
        <v>2039</v>
      </c>
      <c r="D38" s="509">
        <f>IF(F37+SUM(E$17:E37)=D$10,F37,D$10-SUM(E$17:E37))</f>
        <v>7275415.1435654694</v>
      </c>
      <c r="E38" s="510">
        <f t="shared" si="7"/>
        <v>502743.82352941175</v>
      </c>
      <c r="F38" s="511">
        <f t="shared" si="8"/>
        <v>6772671.3200360574</v>
      </c>
      <c r="G38" s="512">
        <f t="shared" si="9"/>
        <v>1250222.4770188003</v>
      </c>
      <c r="H38" s="478">
        <f t="shared" si="10"/>
        <v>1250222.4770188003</v>
      </c>
      <c r="I38" s="501">
        <f t="shared" si="1"/>
        <v>0</v>
      </c>
      <c r="J38" s="501"/>
      <c r="K38" s="513"/>
      <c r="L38" s="505">
        <f t="shared" si="2"/>
        <v>0</v>
      </c>
      <c r="M38" s="513"/>
      <c r="N38" s="505">
        <f t="shared" si="3"/>
        <v>0</v>
      </c>
      <c r="O38" s="505">
        <f t="shared" si="4"/>
        <v>0</v>
      </c>
      <c r="P38" s="279"/>
    </row>
    <row r="39" spans="2:16">
      <c r="B39" s="145" t="str">
        <f t="shared" si="0"/>
        <v/>
      </c>
      <c r="C39" s="496">
        <f>IF(D11="","-",+C38+1)</f>
        <v>2040</v>
      </c>
      <c r="D39" s="509">
        <f>IF(F38+SUM(E$17:E38)=D$10,F38,D$10-SUM(E$17:E38))</f>
        <v>6772671.3200360574</v>
      </c>
      <c r="E39" s="510">
        <f t="shared" si="7"/>
        <v>502743.82352941175</v>
      </c>
      <c r="F39" s="511">
        <f t="shared" si="8"/>
        <v>6269927.4965066453</v>
      </c>
      <c r="G39" s="512">
        <f t="shared" si="9"/>
        <v>1196721.9127625166</v>
      </c>
      <c r="H39" s="478">
        <f t="shared" si="10"/>
        <v>1196721.9127625166</v>
      </c>
      <c r="I39" s="501">
        <f t="shared" si="1"/>
        <v>0</v>
      </c>
      <c r="J39" s="501"/>
      <c r="K39" s="513"/>
      <c r="L39" s="505">
        <f t="shared" si="2"/>
        <v>0</v>
      </c>
      <c r="M39" s="513"/>
      <c r="N39" s="505">
        <f t="shared" si="3"/>
        <v>0</v>
      </c>
      <c r="O39" s="505">
        <f t="shared" si="4"/>
        <v>0</v>
      </c>
      <c r="P39" s="279"/>
    </row>
    <row r="40" spans="2:16">
      <c r="B40" s="145" t="str">
        <f t="shared" si="0"/>
        <v/>
      </c>
      <c r="C40" s="496">
        <f>IF(D11="","-",+C39+1)</f>
        <v>2041</v>
      </c>
      <c r="D40" s="509">
        <f>IF(F39+SUM(E$17:E39)=D$10,F39,D$10-SUM(E$17:E39))</f>
        <v>6269927.4965066453</v>
      </c>
      <c r="E40" s="510">
        <f t="shared" si="7"/>
        <v>502743.82352941175</v>
      </c>
      <c r="F40" s="511">
        <f t="shared" si="8"/>
        <v>5767183.6729772333</v>
      </c>
      <c r="G40" s="512">
        <f t="shared" si="9"/>
        <v>1143221.348506233</v>
      </c>
      <c r="H40" s="478">
        <f t="shared" si="10"/>
        <v>1143221.348506233</v>
      </c>
      <c r="I40" s="501">
        <f t="shared" si="1"/>
        <v>0</v>
      </c>
      <c r="J40" s="501"/>
      <c r="K40" s="513"/>
      <c r="L40" s="505">
        <f t="shared" si="2"/>
        <v>0</v>
      </c>
      <c r="M40" s="513"/>
      <c r="N40" s="505">
        <f t="shared" si="3"/>
        <v>0</v>
      </c>
      <c r="O40" s="505">
        <f t="shared" si="4"/>
        <v>0</v>
      </c>
      <c r="P40" s="279"/>
    </row>
    <row r="41" spans="2:16">
      <c r="B41" s="145" t="str">
        <f t="shared" si="0"/>
        <v/>
      </c>
      <c r="C41" s="496">
        <f>IF(D11="","-",+C40+1)</f>
        <v>2042</v>
      </c>
      <c r="D41" s="509">
        <f>IF(F40+SUM(E$17:E40)=D$10,F40,D$10-SUM(E$17:E40))</f>
        <v>5767183.6729772333</v>
      </c>
      <c r="E41" s="510">
        <f t="shared" si="7"/>
        <v>502743.82352941175</v>
      </c>
      <c r="F41" s="511">
        <f t="shared" si="8"/>
        <v>5264439.8494478213</v>
      </c>
      <c r="G41" s="512">
        <f t="shared" si="9"/>
        <v>1089720.7842499493</v>
      </c>
      <c r="H41" s="478">
        <f t="shared" si="10"/>
        <v>1089720.7842499493</v>
      </c>
      <c r="I41" s="501">
        <f t="shared" si="1"/>
        <v>0</v>
      </c>
      <c r="J41" s="501"/>
      <c r="K41" s="513"/>
      <c r="L41" s="505">
        <f t="shared" si="2"/>
        <v>0</v>
      </c>
      <c r="M41" s="513"/>
      <c r="N41" s="505">
        <f t="shared" si="3"/>
        <v>0</v>
      </c>
      <c r="O41" s="505">
        <f t="shared" si="4"/>
        <v>0</v>
      </c>
      <c r="P41" s="279"/>
    </row>
    <row r="42" spans="2:16">
      <c r="B42" s="145" t="str">
        <f t="shared" si="0"/>
        <v/>
      </c>
      <c r="C42" s="496">
        <f>IF(D11="","-",+C41+1)</f>
        <v>2043</v>
      </c>
      <c r="D42" s="509">
        <f>IF(F41+SUM(E$17:E41)=D$10,F41,D$10-SUM(E$17:E41))</f>
        <v>5264439.8494478213</v>
      </c>
      <c r="E42" s="510">
        <f t="shared" si="7"/>
        <v>502743.82352941175</v>
      </c>
      <c r="F42" s="511">
        <f t="shared" si="8"/>
        <v>4761696.0259184092</v>
      </c>
      <c r="G42" s="512">
        <f t="shared" si="9"/>
        <v>1036220.2199936653</v>
      </c>
      <c r="H42" s="478">
        <f t="shared" si="10"/>
        <v>1036220.2199936653</v>
      </c>
      <c r="I42" s="501">
        <f t="shared" si="1"/>
        <v>0</v>
      </c>
      <c r="J42" s="501"/>
      <c r="K42" s="513"/>
      <c r="L42" s="505">
        <f t="shared" si="2"/>
        <v>0</v>
      </c>
      <c r="M42" s="513"/>
      <c r="N42" s="505">
        <f t="shared" si="3"/>
        <v>0</v>
      </c>
      <c r="O42" s="505">
        <f t="shared" si="4"/>
        <v>0</v>
      </c>
      <c r="P42" s="279"/>
    </row>
    <row r="43" spans="2:16">
      <c r="B43" s="145" t="str">
        <f t="shared" si="0"/>
        <v/>
      </c>
      <c r="C43" s="496">
        <f>IF(D11="","-",+C42+1)</f>
        <v>2044</v>
      </c>
      <c r="D43" s="509">
        <f>IF(F42+SUM(E$17:E42)=D$10,F42,D$10-SUM(E$17:E42))</f>
        <v>4761696.0259184092</v>
      </c>
      <c r="E43" s="510">
        <f t="shared" si="7"/>
        <v>502743.82352941175</v>
      </c>
      <c r="F43" s="511">
        <f t="shared" si="8"/>
        <v>4258952.2023889972</v>
      </c>
      <c r="G43" s="512">
        <f t="shared" si="9"/>
        <v>982719.65573738166</v>
      </c>
      <c r="H43" s="478">
        <f t="shared" si="10"/>
        <v>982719.65573738166</v>
      </c>
      <c r="I43" s="501">
        <f t="shared" si="1"/>
        <v>0</v>
      </c>
      <c r="J43" s="501"/>
      <c r="K43" s="513"/>
      <c r="L43" s="505">
        <f t="shared" si="2"/>
        <v>0</v>
      </c>
      <c r="M43" s="513"/>
      <c r="N43" s="505">
        <f t="shared" si="3"/>
        <v>0</v>
      </c>
      <c r="O43" s="505">
        <f t="shared" si="4"/>
        <v>0</v>
      </c>
      <c r="P43" s="279"/>
    </row>
    <row r="44" spans="2:16">
      <c r="B44" s="145" t="str">
        <f t="shared" si="0"/>
        <v/>
      </c>
      <c r="C44" s="496">
        <f>IF(D11="","-",+C43+1)</f>
        <v>2045</v>
      </c>
      <c r="D44" s="509">
        <f>IF(F43+SUM(E$17:E43)=D$10,F43,D$10-SUM(E$17:E43))</f>
        <v>4258952.2023889972</v>
      </c>
      <c r="E44" s="510">
        <f t="shared" si="7"/>
        <v>502743.82352941175</v>
      </c>
      <c r="F44" s="511">
        <f t="shared" si="8"/>
        <v>3756208.3788595856</v>
      </c>
      <c r="G44" s="512">
        <f t="shared" si="9"/>
        <v>929219.09148109797</v>
      </c>
      <c r="H44" s="478">
        <f t="shared" si="10"/>
        <v>929219.09148109797</v>
      </c>
      <c r="I44" s="501">
        <f t="shared" si="1"/>
        <v>0</v>
      </c>
      <c r="J44" s="501"/>
      <c r="K44" s="513"/>
      <c r="L44" s="505">
        <f t="shared" si="2"/>
        <v>0</v>
      </c>
      <c r="M44" s="513"/>
      <c r="N44" s="505">
        <f t="shared" si="3"/>
        <v>0</v>
      </c>
      <c r="O44" s="505">
        <f t="shared" si="4"/>
        <v>0</v>
      </c>
      <c r="P44" s="279"/>
    </row>
    <row r="45" spans="2:16">
      <c r="B45" s="145" t="str">
        <f t="shared" si="0"/>
        <v/>
      </c>
      <c r="C45" s="496">
        <f>IF(D11="","-",+C44+1)</f>
        <v>2046</v>
      </c>
      <c r="D45" s="509">
        <f>IF(F44+SUM(E$17:E44)=D$10,F44,D$10-SUM(E$17:E44))</f>
        <v>3756208.3788595856</v>
      </c>
      <c r="E45" s="510">
        <f t="shared" si="7"/>
        <v>502743.82352941175</v>
      </c>
      <c r="F45" s="511">
        <f t="shared" si="8"/>
        <v>3253464.555330174</v>
      </c>
      <c r="G45" s="512">
        <f t="shared" si="9"/>
        <v>875718.52722481417</v>
      </c>
      <c r="H45" s="478">
        <f t="shared" si="10"/>
        <v>875718.52722481417</v>
      </c>
      <c r="I45" s="501">
        <f t="shared" si="1"/>
        <v>0</v>
      </c>
      <c r="J45" s="501"/>
      <c r="K45" s="513"/>
      <c r="L45" s="505">
        <f t="shared" si="2"/>
        <v>0</v>
      </c>
      <c r="M45" s="513"/>
      <c r="N45" s="505">
        <f t="shared" si="3"/>
        <v>0</v>
      </c>
      <c r="O45" s="505">
        <f t="shared" si="4"/>
        <v>0</v>
      </c>
      <c r="P45" s="279"/>
    </row>
    <row r="46" spans="2:16">
      <c r="B46" s="145" t="str">
        <f t="shared" si="0"/>
        <v/>
      </c>
      <c r="C46" s="496">
        <f>IF(D11="","-",+C45+1)</f>
        <v>2047</v>
      </c>
      <c r="D46" s="509">
        <f>IF(F45+SUM(E$17:E45)=D$10,F45,D$10-SUM(E$17:E45))</f>
        <v>3253464.555330174</v>
      </c>
      <c r="E46" s="510">
        <f t="shared" si="7"/>
        <v>502743.82352941175</v>
      </c>
      <c r="F46" s="511">
        <f t="shared" si="8"/>
        <v>2750720.7318007625</v>
      </c>
      <c r="G46" s="512">
        <f t="shared" si="9"/>
        <v>822217.9629685306</v>
      </c>
      <c r="H46" s="478">
        <f t="shared" si="10"/>
        <v>822217.9629685306</v>
      </c>
      <c r="I46" s="501">
        <f t="shared" si="1"/>
        <v>0</v>
      </c>
      <c r="J46" s="501"/>
      <c r="K46" s="513"/>
      <c r="L46" s="505">
        <f t="shared" si="2"/>
        <v>0</v>
      </c>
      <c r="M46" s="513"/>
      <c r="N46" s="505">
        <f t="shared" si="3"/>
        <v>0</v>
      </c>
      <c r="O46" s="505">
        <f t="shared" si="4"/>
        <v>0</v>
      </c>
      <c r="P46" s="279"/>
    </row>
    <row r="47" spans="2:16">
      <c r="B47" s="145" t="str">
        <f t="shared" si="0"/>
        <v/>
      </c>
      <c r="C47" s="496">
        <f>IF(D11="","-",+C46+1)</f>
        <v>2048</v>
      </c>
      <c r="D47" s="509">
        <f>IF(F46+SUM(E$17:E46)=D$10,F46,D$10-SUM(E$17:E46))</f>
        <v>2750720.7318007625</v>
      </c>
      <c r="E47" s="510">
        <f t="shared" si="7"/>
        <v>502743.82352941175</v>
      </c>
      <c r="F47" s="511">
        <f t="shared" si="8"/>
        <v>2247976.9082713509</v>
      </c>
      <c r="G47" s="512">
        <f t="shared" si="9"/>
        <v>768717.3987122468</v>
      </c>
      <c r="H47" s="478">
        <f t="shared" si="10"/>
        <v>768717.3987122468</v>
      </c>
      <c r="I47" s="501">
        <f t="shared" si="1"/>
        <v>0</v>
      </c>
      <c r="J47" s="501"/>
      <c r="K47" s="513"/>
      <c r="L47" s="505">
        <f t="shared" si="2"/>
        <v>0</v>
      </c>
      <c r="M47" s="513"/>
      <c r="N47" s="505">
        <f t="shared" si="3"/>
        <v>0</v>
      </c>
      <c r="O47" s="505">
        <f t="shared" si="4"/>
        <v>0</v>
      </c>
      <c r="P47" s="279"/>
    </row>
    <row r="48" spans="2:16">
      <c r="B48" s="145" t="str">
        <f t="shared" si="0"/>
        <v/>
      </c>
      <c r="C48" s="496">
        <f>IF(D11="","-",+C47+1)</f>
        <v>2049</v>
      </c>
      <c r="D48" s="509">
        <f>IF(F47+SUM(E$17:E47)=D$10,F47,D$10-SUM(E$17:E47))</f>
        <v>2247976.9082713509</v>
      </c>
      <c r="E48" s="510">
        <f t="shared" si="7"/>
        <v>502743.82352941175</v>
      </c>
      <c r="F48" s="511">
        <f t="shared" si="8"/>
        <v>1745233.0847419391</v>
      </c>
      <c r="G48" s="512">
        <f t="shared" si="9"/>
        <v>715216.83445596311</v>
      </c>
      <c r="H48" s="478">
        <f t="shared" si="10"/>
        <v>715216.83445596311</v>
      </c>
      <c r="I48" s="501">
        <f t="shared" si="1"/>
        <v>0</v>
      </c>
      <c r="J48" s="501"/>
      <c r="K48" s="513"/>
      <c r="L48" s="505">
        <f t="shared" si="2"/>
        <v>0</v>
      </c>
      <c r="M48" s="513"/>
      <c r="N48" s="505">
        <f t="shared" si="3"/>
        <v>0</v>
      </c>
      <c r="O48" s="505">
        <f t="shared" si="4"/>
        <v>0</v>
      </c>
      <c r="P48" s="279"/>
    </row>
    <row r="49" spans="2:16">
      <c r="B49" s="145" t="str">
        <f t="shared" si="0"/>
        <v/>
      </c>
      <c r="C49" s="496">
        <f>IF(D11="","-",+C48+1)</f>
        <v>2050</v>
      </c>
      <c r="D49" s="509">
        <f>IF(F48+SUM(E$17:E48)=D$10,F48,D$10-SUM(E$17:E48))</f>
        <v>1745233.0847419391</v>
      </c>
      <c r="E49" s="510">
        <f t="shared" si="7"/>
        <v>502743.82352941175</v>
      </c>
      <c r="F49" s="511">
        <f t="shared" si="8"/>
        <v>1242489.2612125273</v>
      </c>
      <c r="G49" s="512">
        <f t="shared" si="9"/>
        <v>661716.2701996793</v>
      </c>
      <c r="H49" s="478">
        <f t="shared" si="10"/>
        <v>661716.2701996793</v>
      </c>
      <c r="I49" s="501">
        <f t="shared" si="1"/>
        <v>0</v>
      </c>
      <c r="J49" s="501"/>
      <c r="K49" s="513"/>
      <c r="L49" s="505">
        <f t="shared" si="2"/>
        <v>0</v>
      </c>
      <c r="M49" s="513"/>
      <c r="N49" s="505">
        <f t="shared" si="3"/>
        <v>0</v>
      </c>
      <c r="O49" s="505">
        <f t="shared" si="4"/>
        <v>0</v>
      </c>
      <c r="P49" s="279"/>
    </row>
    <row r="50" spans="2:16">
      <c r="B50" s="145" t="str">
        <f t="shared" si="0"/>
        <v/>
      </c>
      <c r="C50" s="496">
        <f>IF(D11="","-",+C49+1)</f>
        <v>2051</v>
      </c>
      <c r="D50" s="509">
        <f>IF(F49+SUM(E$17:E49)=D$10,F49,D$10-SUM(E$17:E49))</f>
        <v>1242489.2612125273</v>
      </c>
      <c r="E50" s="510">
        <f t="shared" si="7"/>
        <v>502743.82352941175</v>
      </c>
      <c r="F50" s="511">
        <f t="shared" si="8"/>
        <v>739745.43768311548</v>
      </c>
      <c r="G50" s="512">
        <f t="shared" si="9"/>
        <v>608215.70594339562</v>
      </c>
      <c r="H50" s="478">
        <f t="shared" si="10"/>
        <v>608215.70594339562</v>
      </c>
      <c r="I50" s="501">
        <f t="shared" si="1"/>
        <v>0</v>
      </c>
      <c r="J50" s="501"/>
      <c r="K50" s="513"/>
      <c r="L50" s="505">
        <f t="shared" si="2"/>
        <v>0</v>
      </c>
      <c r="M50" s="513"/>
      <c r="N50" s="505">
        <f t="shared" si="3"/>
        <v>0</v>
      </c>
      <c r="O50" s="505">
        <f t="shared" si="4"/>
        <v>0</v>
      </c>
      <c r="P50" s="279"/>
    </row>
    <row r="51" spans="2:16">
      <c r="B51" s="145" t="str">
        <f t="shared" si="0"/>
        <v/>
      </c>
      <c r="C51" s="496">
        <f>IF(D11="","-",+C50+1)</f>
        <v>2052</v>
      </c>
      <c r="D51" s="509">
        <f>IF(F50+SUM(E$17:E50)=D$10,F50,D$10-SUM(E$17:E50))</f>
        <v>739745.43768311548</v>
      </c>
      <c r="E51" s="510">
        <f t="shared" si="7"/>
        <v>502743.82352941175</v>
      </c>
      <c r="F51" s="511">
        <f t="shared" si="8"/>
        <v>237001.61415370373</v>
      </c>
      <c r="G51" s="512">
        <f t="shared" si="9"/>
        <v>554715.14168711193</v>
      </c>
      <c r="H51" s="478">
        <f t="shared" si="10"/>
        <v>554715.14168711193</v>
      </c>
      <c r="I51" s="501">
        <f t="shared" si="1"/>
        <v>0</v>
      </c>
      <c r="J51" s="501"/>
      <c r="K51" s="513"/>
      <c r="L51" s="505">
        <f t="shared" si="2"/>
        <v>0</v>
      </c>
      <c r="M51" s="513"/>
      <c r="N51" s="505">
        <f t="shared" si="3"/>
        <v>0</v>
      </c>
      <c r="O51" s="505">
        <f t="shared" si="4"/>
        <v>0</v>
      </c>
      <c r="P51" s="279"/>
    </row>
    <row r="52" spans="2:16">
      <c r="B52" s="145" t="str">
        <f t="shared" si="0"/>
        <v/>
      </c>
      <c r="C52" s="496">
        <f>IF(D11="","-",+C51+1)</f>
        <v>2053</v>
      </c>
      <c r="D52" s="509">
        <f>IF(F51+SUM(E$17:E51)=D$10,F51,D$10-SUM(E$17:E51))</f>
        <v>237001.61415370373</v>
      </c>
      <c r="E52" s="510">
        <f t="shared" si="7"/>
        <v>237001.61415370373</v>
      </c>
      <c r="F52" s="511">
        <f t="shared" si="8"/>
        <v>0</v>
      </c>
      <c r="G52" s="512">
        <f t="shared" si="9"/>
        <v>249612.13216848287</v>
      </c>
      <c r="H52" s="478">
        <f t="shared" si="10"/>
        <v>249612.13216848287</v>
      </c>
      <c r="I52" s="501">
        <f t="shared" si="1"/>
        <v>0</v>
      </c>
      <c r="J52" s="501"/>
      <c r="K52" s="513"/>
      <c r="L52" s="505">
        <f t="shared" si="2"/>
        <v>0</v>
      </c>
      <c r="M52" s="513"/>
      <c r="N52" s="505">
        <f t="shared" si="3"/>
        <v>0</v>
      </c>
      <c r="O52" s="505">
        <f t="shared" si="4"/>
        <v>0</v>
      </c>
      <c r="P52" s="279"/>
    </row>
    <row r="53" spans="2:16">
      <c r="B53" s="145" t="str">
        <f t="shared" si="0"/>
        <v/>
      </c>
      <c r="C53" s="496">
        <f>IF(D11="","-",+C52+1)</f>
        <v>2054</v>
      </c>
      <c r="D53" s="509">
        <f>IF(F52+SUM(E$17:E52)=D$10,F52,D$10-SUM(E$17:E52))</f>
        <v>0</v>
      </c>
      <c r="E53" s="510">
        <f t="shared" si="7"/>
        <v>0</v>
      </c>
      <c r="F53" s="511">
        <f t="shared" si="8"/>
        <v>0</v>
      </c>
      <c r="G53" s="512">
        <f t="shared" si="9"/>
        <v>0</v>
      </c>
      <c r="H53" s="478">
        <f t="shared" si="10"/>
        <v>0</v>
      </c>
      <c r="I53" s="501">
        <f t="shared" si="1"/>
        <v>0</v>
      </c>
      <c r="J53" s="501"/>
      <c r="K53" s="513"/>
      <c r="L53" s="505">
        <f t="shared" si="2"/>
        <v>0</v>
      </c>
      <c r="M53" s="513"/>
      <c r="N53" s="505">
        <f t="shared" si="3"/>
        <v>0</v>
      </c>
      <c r="O53" s="505">
        <f t="shared" si="4"/>
        <v>0</v>
      </c>
      <c r="P53" s="279"/>
    </row>
    <row r="54" spans="2:16">
      <c r="B54" s="145" t="str">
        <f t="shared" si="0"/>
        <v/>
      </c>
      <c r="C54" s="496">
        <f>IF(D11="","-",+C53+1)</f>
        <v>2055</v>
      </c>
      <c r="D54" s="509">
        <f>IF(F53+SUM(E$17:E53)=D$10,F53,D$10-SUM(E$17:E53))</f>
        <v>0</v>
      </c>
      <c r="E54" s="510">
        <f t="shared" si="7"/>
        <v>0</v>
      </c>
      <c r="F54" s="511">
        <f t="shared" si="8"/>
        <v>0</v>
      </c>
      <c r="G54" s="512">
        <f t="shared" si="9"/>
        <v>0</v>
      </c>
      <c r="H54" s="478">
        <f t="shared" si="10"/>
        <v>0</v>
      </c>
      <c r="I54" s="501">
        <f t="shared" si="1"/>
        <v>0</v>
      </c>
      <c r="J54" s="501"/>
      <c r="K54" s="513"/>
      <c r="L54" s="505">
        <f t="shared" si="2"/>
        <v>0</v>
      </c>
      <c r="M54" s="513"/>
      <c r="N54" s="505">
        <f t="shared" si="3"/>
        <v>0</v>
      </c>
      <c r="O54" s="505">
        <f t="shared" si="4"/>
        <v>0</v>
      </c>
      <c r="P54" s="279"/>
    </row>
    <row r="55" spans="2:16">
      <c r="B55" s="145" t="str">
        <f t="shared" si="0"/>
        <v/>
      </c>
      <c r="C55" s="496">
        <f>IF(D11="","-",+C54+1)</f>
        <v>2056</v>
      </c>
      <c r="D55" s="509">
        <f>IF(F54+SUM(E$17:E54)=D$10,F54,D$10-SUM(E$17:E54))</f>
        <v>0</v>
      </c>
      <c r="E55" s="510">
        <f t="shared" si="7"/>
        <v>0</v>
      </c>
      <c r="F55" s="511">
        <f t="shared" si="8"/>
        <v>0</v>
      </c>
      <c r="G55" s="512">
        <f t="shared" si="9"/>
        <v>0</v>
      </c>
      <c r="H55" s="478">
        <f t="shared" si="10"/>
        <v>0</v>
      </c>
      <c r="I55" s="501">
        <f t="shared" si="1"/>
        <v>0</v>
      </c>
      <c r="J55" s="501"/>
      <c r="K55" s="513"/>
      <c r="L55" s="505">
        <f t="shared" si="2"/>
        <v>0</v>
      </c>
      <c r="M55" s="513"/>
      <c r="N55" s="505">
        <f t="shared" si="3"/>
        <v>0</v>
      </c>
      <c r="O55" s="505">
        <f t="shared" si="4"/>
        <v>0</v>
      </c>
      <c r="P55" s="279"/>
    </row>
    <row r="56" spans="2:16">
      <c r="B56" s="145" t="str">
        <f t="shared" si="0"/>
        <v/>
      </c>
      <c r="C56" s="496">
        <f>IF(D11="","-",+C55+1)</f>
        <v>2057</v>
      </c>
      <c r="D56" s="509">
        <f>IF(F55+SUM(E$17:E55)=D$10,F55,D$10-SUM(E$17:E55))</f>
        <v>0</v>
      </c>
      <c r="E56" s="510">
        <f t="shared" si="7"/>
        <v>0</v>
      </c>
      <c r="F56" s="511">
        <f t="shared" si="8"/>
        <v>0</v>
      </c>
      <c r="G56" s="512">
        <f t="shared" si="9"/>
        <v>0</v>
      </c>
      <c r="H56" s="478">
        <f t="shared" si="10"/>
        <v>0</v>
      </c>
      <c r="I56" s="501">
        <f t="shared" si="1"/>
        <v>0</v>
      </c>
      <c r="J56" s="501"/>
      <c r="K56" s="513"/>
      <c r="L56" s="505">
        <f t="shared" si="2"/>
        <v>0</v>
      </c>
      <c r="M56" s="513"/>
      <c r="N56" s="505">
        <f t="shared" si="3"/>
        <v>0</v>
      </c>
      <c r="O56" s="505">
        <f t="shared" si="4"/>
        <v>0</v>
      </c>
      <c r="P56" s="279"/>
    </row>
    <row r="57" spans="2:16">
      <c r="B57" s="145" t="str">
        <f t="shared" si="0"/>
        <v/>
      </c>
      <c r="C57" s="496">
        <f>IF(D11="","-",+C56+1)</f>
        <v>2058</v>
      </c>
      <c r="D57" s="509">
        <f>IF(F56+SUM(E$17:E56)=D$10,F56,D$10-SUM(E$17:E56))</f>
        <v>0</v>
      </c>
      <c r="E57" s="510">
        <f t="shared" si="7"/>
        <v>0</v>
      </c>
      <c r="F57" s="511">
        <f t="shared" si="8"/>
        <v>0</v>
      </c>
      <c r="G57" s="512">
        <f t="shared" si="9"/>
        <v>0</v>
      </c>
      <c r="H57" s="478">
        <f t="shared" si="10"/>
        <v>0</v>
      </c>
      <c r="I57" s="501">
        <f t="shared" si="1"/>
        <v>0</v>
      </c>
      <c r="J57" s="501"/>
      <c r="K57" s="513"/>
      <c r="L57" s="505">
        <f t="shared" si="2"/>
        <v>0</v>
      </c>
      <c r="M57" s="513"/>
      <c r="N57" s="505">
        <f t="shared" si="3"/>
        <v>0</v>
      </c>
      <c r="O57" s="505">
        <f t="shared" si="4"/>
        <v>0</v>
      </c>
      <c r="P57" s="279"/>
    </row>
    <row r="58" spans="2:16">
      <c r="B58" s="145" t="str">
        <f t="shared" si="0"/>
        <v/>
      </c>
      <c r="C58" s="496">
        <f>IF(D11="","-",+C57+1)</f>
        <v>2059</v>
      </c>
      <c r="D58" s="509">
        <f>IF(F57+SUM(E$17:E57)=D$10,F57,D$10-SUM(E$17:E57))</f>
        <v>0</v>
      </c>
      <c r="E58" s="510">
        <f t="shared" si="7"/>
        <v>0</v>
      </c>
      <c r="F58" s="511">
        <f t="shared" si="8"/>
        <v>0</v>
      </c>
      <c r="G58" s="512">
        <f t="shared" si="9"/>
        <v>0</v>
      </c>
      <c r="H58" s="478">
        <f t="shared" si="10"/>
        <v>0</v>
      </c>
      <c r="I58" s="501">
        <f t="shared" si="1"/>
        <v>0</v>
      </c>
      <c r="J58" s="501"/>
      <c r="K58" s="513"/>
      <c r="L58" s="505">
        <f t="shared" si="2"/>
        <v>0</v>
      </c>
      <c r="M58" s="513"/>
      <c r="N58" s="505">
        <f t="shared" si="3"/>
        <v>0</v>
      </c>
      <c r="O58" s="505">
        <f t="shared" si="4"/>
        <v>0</v>
      </c>
      <c r="P58" s="279"/>
    </row>
    <row r="59" spans="2:16">
      <c r="B59" s="145" t="str">
        <f t="shared" si="0"/>
        <v/>
      </c>
      <c r="C59" s="496">
        <f>IF(D11="","-",+C58+1)</f>
        <v>2060</v>
      </c>
      <c r="D59" s="509">
        <f>IF(F58+SUM(E$17:E58)=D$10,F58,D$10-SUM(E$17:E58))</f>
        <v>0</v>
      </c>
      <c r="E59" s="510">
        <f t="shared" si="7"/>
        <v>0</v>
      </c>
      <c r="F59" s="511">
        <f t="shared" si="8"/>
        <v>0</v>
      </c>
      <c r="G59" s="512">
        <f t="shared" si="9"/>
        <v>0</v>
      </c>
      <c r="H59" s="478">
        <f t="shared" si="10"/>
        <v>0</v>
      </c>
      <c r="I59" s="501">
        <f t="shared" si="1"/>
        <v>0</v>
      </c>
      <c r="J59" s="501"/>
      <c r="K59" s="513"/>
      <c r="L59" s="505">
        <f t="shared" si="2"/>
        <v>0</v>
      </c>
      <c r="M59" s="513"/>
      <c r="N59" s="505">
        <f t="shared" si="3"/>
        <v>0</v>
      </c>
      <c r="O59" s="505">
        <f t="shared" si="4"/>
        <v>0</v>
      </c>
      <c r="P59" s="279"/>
    </row>
    <row r="60" spans="2:16">
      <c r="B60" s="145" t="str">
        <f t="shared" si="0"/>
        <v/>
      </c>
      <c r="C60" s="496">
        <f>IF(D11="","-",+C59+1)</f>
        <v>2061</v>
      </c>
      <c r="D60" s="509">
        <f>IF(F59+SUM(E$17:E59)=D$10,F59,D$10-SUM(E$17:E59))</f>
        <v>0</v>
      </c>
      <c r="E60" s="510">
        <f t="shared" si="7"/>
        <v>0</v>
      </c>
      <c r="F60" s="511">
        <f t="shared" si="8"/>
        <v>0</v>
      </c>
      <c r="G60" s="512">
        <f t="shared" si="9"/>
        <v>0</v>
      </c>
      <c r="H60" s="478">
        <f t="shared" si="10"/>
        <v>0</v>
      </c>
      <c r="I60" s="501">
        <f t="shared" si="1"/>
        <v>0</v>
      </c>
      <c r="J60" s="501"/>
      <c r="K60" s="513"/>
      <c r="L60" s="505">
        <f t="shared" si="2"/>
        <v>0</v>
      </c>
      <c r="M60" s="513"/>
      <c r="N60" s="505">
        <f t="shared" si="3"/>
        <v>0</v>
      </c>
      <c r="O60" s="505">
        <f t="shared" si="4"/>
        <v>0</v>
      </c>
      <c r="P60" s="279"/>
    </row>
    <row r="61" spans="2:16">
      <c r="B61" s="145" t="str">
        <f t="shared" si="0"/>
        <v/>
      </c>
      <c r="C61" s="496">
        <f>IF(D11="","-",+C60+1)</f>
        <v>2062</v>
      </c>
      <c r="D61" s="509">
        <f>IF(F60+SUM(E$17:E60)=D$10,F60,D$10-SUM(E$17:E60))</f>
        <v>0</v>
      </c>
      <c r="E61" s="510">
        <f t="shared" si="7"/>
        <v>0</v>
      </c>
      <c r="F61" s="511">
        <f t="shared" si="8"/>
        <v>0</v>
      </c>
      <c r="G61" s="524">
        <f t="shared" si="9"/>
        <v>0</v>
      </c>
      <c r="H61" s="478">
        <f t="shared" si="10"/>
        <v>0</v>
      </c>
      <c r="I61" s="501">
        <f t="shared" si="1"/>
        <v>0</v>
      </c>
      <c r="J61" s="501"/>
      <c r="K61" s="513"/>
      <c r="L61" s="505">
        <f t="shared" si="2"/>
        <v>0</v>
      </c>
      <c r="M61" s="513"/>
      <c r="N61" s="505">
        <f t="shared" si="3"/>
        <v>0</v>
      </c>
      <c r="O61" s="505">
        <f t="shared" si="4"/>
        <v>0</v>
      </c>
      <c r="P61" s="279"/>
    </row>
    <row r="62" spans="2:16">
      <c r="B62" s="145" t="str">
        <f t="shared" si="0"/>
        <v/>
      </c>
      <c r="C62" s="496">
        <f>IF(D11="","-",+C61+1)</f>
        <v>2063</v>
      </c>
      <c r="D62" s="509">
        <f>IF(F61+SUM(E$17:E61)=D$10,F61,D$10-SUM(E$17:E61))</f>
        <v>0</v>
      </c>
      <c r="E62" s="510">
        <f t="shared" si="7"/>
        <v>0</v>
      </c>
      <c r="F62" s="511">
        <f t="shared" si="8"/>
        <v>0</v>
      </c>
      <c r="G62" s="524">
        <f t="shared" si="9"/>
        <v>0</v>
      </c>
      <c r="H62" s="478">
        <f t="shared" si="10"/>
        <v>0</v>
      </c>
      <c r="I62" s="501">
        <f t="shared" si="1"/>
        <v>0</v>
      </c>
      <c r="J62" s="501"/>
      <c r="K62" s="513"/>
      <c r="L62" s="505">
        <f t="shared" si="2"/>
        <v>0</v>
      </c>
      <c r="M62" s="513"/>
      <c r="N62" s="505">
        <f t="shared" si="3"/>
        <v>0</v>
      </c>
      <c r="O62" s="505">
        <f t="shared" si="4"/>
        <v>0</v>
      </c>
      <c r="P62" s="279"/>
    </row>
    <row r="63" spans="2:16">
      <c r="B63" s="145" t="str">
        <f t="shared" si="0"/>
        <v/>
      </c>
      <c r="C63" s="496">
        <f>IF(D11="","-",+C62+1)</f>
        <v>2064</v>
      </c>
      <c r="D63" s="509">
        <f>IF(F62+SUM(E$17:E62)=D$10,F62,D$10-SUM(E$17:E62))</f>
        <v>0</v>
      </c>
      <c r="E63" s="510">
        <f t="shared" si="7"/>
        <v>0</v>
      </c>
      <c r="F63" s="511">
        <f t="shared" si="8"/>
        <v>0</v>
      </c>
      <c r="G63" s="524">
        <f t="shared" si="9"/>
        <v>0</v>
      </c>
      <c r="H63" s="478">
        <f t="shared" si="10"/>
        <v>0</v>
      </c>
      <c r="I63" s="501">
        <f t="shared" si="1"/>
        <v>0</v>
      </c>
      <c r="J63" s="501"/>
      <c r="K63" s="513"/>
      <c r="L63" s="505">
        <f t="shared" si="2"/>
        <v>0</v>
      </c>
      <c r="M63" s="513"/>
      <c r="N63" s="505">
        <f t="shared" si="3"/>
        <v>0</v>
      </c>
      <c r="O63" s="505">
        <f t="shared" si="4"/>
        <v>0</v>
      </c>
      <c r="P63" s="279"/>
    </row>
    <row r="64" spans="2:16">
      <c r="B64" s="145" t="str">
        <f t="shared" si="0"/>
        <v/>
      </c>
      <c r="C64" s="496">
        <f>IF(D11="","-",+C63+1)</f>
        <v>2065</v>
      </c>
      <c r="D64" s="509">
        <f>IF(F63+SUM(E$17:E63)=D$10,F63,D$10-SUM(E$17:E63))</f>
        <v>0</v>
      </c>
      <c r="E64" s="510">
        <f t="shared" si="7"/>
        <v>0</v>
      </c>
      <c r="F64" s="511">
        <f t="shared" si="8"/>
        <v>0</v>
      </c>
      <c r="G64" s="524">
        <f t="shared" si="9"/>
        <v>0</v>
      </c>
      <c r="H64" s="478">
        <f t="shared" si="10"/>
        <v>0</v>
      </c>
      <c r="I64" s="501">
        <f t="shared" si="1"/>
        <v>0</v>
      </c>
      <c r="J64" s="501"/>
      <c r="K64" s="513"/>
      <c r="L64" s="505">
        <f t="shared" si="2"/>
        <v>0</v>
      </c>
      <c r="M64" s="513"/>
      <c r="N64" s="505">
        <f t="shared" si="3"/>
        <v>0</v>
      </c>
      <c r="O64" s="505">
        <f t="shared" si="4"/>
        <v>0</v>
      </c>
      <c r="P64" s="279"/>
    </row>
    <row r="65" spans="2:16">
      <c r="B65" s="145" t="str">
        <f t="shared" si="0"/>
        <v/>
      </c>
      <c r="C65" s="496">
        <f>IF(D11="","-",+C64+1)</f>
        <v>2066</v>
      </c>
      <c r="D65" s="509">
        <f>IF(F64+SUM(E$17:E64)=D$10,F64,D$10-SUM(E$17:E64))</f>
        <v>0</v>
      </c>
      <c r="E65" s="510">
        <f t="shared" si="7"/>
        <v>0</v>
      </c>
      <c r="F65" s="511">
        <f t="shared" si="8"/>
        <v>0</v>
      </c>
      <c r="G65" s="524">
        <f t="shared" si="9"/>
        <v>0</v>
      </c>
      <c r="H65" s="478">
        <f t="shared" si="10"/>
        <v>0</v>
      </c>
      <c r="I65" s="501">
        <f t="shared" si="1"/>
        <v>0</v>
      </c>
      <c r="J65" s="501"/>
      <c r="K65" s="513"/>
      <c r="L65" s="505">
        <f t="shared" si="2"/>
        <v>0</v>
      </c>
      <c r="M65" s="513"/>
      <c r="N65" s="505">
        <f t="shared" si="3"/>
        <v>0</v>
      </c>
      <c r="O65" s="505">
        <f t="shared" si="4"/>
        <v>0</v>
      </c>
      <c r="P65" s="279"/>
    </row>
    <row r="66" spans="2:16">
      <c r="B66" s="145" t="str">
        <f t="shared" si="0"/>
        <v/>
      </c>
      <c r="C66" s="496">
        <f>IF(D11="","-",+C65+1)</f>
        <v>2067</v>
      </c>
      <c r="D66" s="509">
        <f>IF(F65+SUM(E$17:E65)=D$10,F65,D$10-SUM(E$17:E65))</f>
        <v>0</v>
      </c>
      <c r="E66" s="510">
        <f t="shared" si="7"/>
        <v>0</v>
      </c>
      <c r="F66" s="511">
        <f t="shared" si="8"/>
        <v>0</v>
      </c>
      <c r="G66" s="524">
        <f t="shared" si="9"/>
        <v>0</v>
      </c>
      <c r="H66" s="478">
        <f t="shared" si="10"/>
        <v>0</v>
      </c>
      <c r="I66" s="501">
        <f t="shared" si="1"/>
        <v>0</v>
      </c>
      <c r="J66" s="501"/>
      <c r="K66" s="513"/>
      <c r="L66" s="505">
        <f t="shared" si="2"/>
        <v>0</v>
      </c>
      <c r="M66" s="513"/>
      <c r="N66" s="505">
        <f t="shared" si="3"/>
        <v>0</v>
      </c>
      <c r="O66" s="505">
        <f t="shared" si="4"/>
        <v>0</v>
      </c>
      <c r="P66" s="279"/>
    </row>
    <row r="67" spans="2:16">
      <c r="B67" s="145" t="str">
        <f t="shared" si="0"/>
        <v/>
      </c>
      <c r="C67" s="496">
        <f>IF(D11="","-",+C66+1)</f>
        <v>2068</v>
      </c>
      <c r="D67" s="509">
        <f>IF(F66+SUM(E$17:E66)=D$10,F66,D$10-SUM(E$17:E66))</f>
        <v>0</v>
      </c>
      <c r="E67" s="510">
        <f t="shared" si="7"/>
        <v>0</v>
      </c>
      <c r="F67" s="511">
        <f t="shared" si="8"/>
        <v>0</v>
      </c>
      <c r="G67" s="524">
        <f t="shared" si="9"/>
        <v>0</v>
      </c>
      <c r="H67" s="478">
        <f t="shared" si="10"/>
        <v>0</v>
      </c>
      <c r="I67" s="501">
        <f t="shared" si="1"/>
        <v>0</v>
      </c>
      <c r="J67" s="501"/>
      <c r="K67" s="513"/>
      <c r="L67" s="505">
        <f t="shared" si="2"/>
        <v>0</v>
      </c>
      <c r="M67" s="513"/>
      <c r="N67" s="505">
        <f t="shared" si="3"/>
        <v>0</v>
      </c>
      <c r="O67" s="505">
        <f t="shared" si="4"/>
        <v>0</v>
      </c>
      <c r="P67" s="279"/>
    </row>
    <row r="68" spans="2:16">
      <c r="B68" s="145" t="str">
        <f t="shared" si="0"/>
        <v/>
      </c>
      <c r="C68" s="496">
        <f>IF(D11="","-",+C67+1)</f>
        <v>2069</v>
      </c>
      <c r="D68" s="509">
        <f>IF(F67+SUM(E$17:E67)=D$10,F67,D$10-SUM(E$17:E67))</f>
        <v>0</v>
      </c>
      <c r="E68" s="510">
        <f t="shared" si="7"/>
        <v>0</v>
      </c>
      <c r="F68" s="511">
        <f t="shared" si="8"/>
        <v>0</v>
      </c>
      <c r="G68" s="524">
        <f t="shared" si="9"/>
        <v>0</v>
      </c>
      <c r="H68" s="478">
        <f t="shared" si="10"/>
        <v>0</v>
      </c>
      <c r="I68" s="501">
        <f t="shared" si="1"/>
        <v>0</v>
      </c>
      <c r="J68" s="501"/>
      <c r="K68" s="513"/>
      <c r="L68" s="505">
        <f t="shared" si="2"/>
        <v>0</v>
      </c>
      <c r="M68" s="513"/>
      <c r="N68" s="505">
        <f t="shared" si="3"/>
        <v>0</v>
      </c>
      <c r="O68" s="505">
        <f t="shared" si="4"/>
        <v>0</v>
      </c>
      <c r="P68" s="279"/>
    </row>
    <row r="69" spans="2:16">
      <c r="B69" s="145" t="str">
        <f t="shared" si="0"/>
        <v/>
      </c>
      <c r="C69" s="496">
        <f>IF(D11="","-",+C68+1)</f>
        <v>2070</v>
      </c>
      <c r="D69" s="509">
        <f>IF(F68+SUM(E$17:E68)=D$10,F68,D$10-SUM(E$17:E68))</f>
        <v>0</v>
      </c>
      <c r="E69" s="510">
        <f t="shared" si="7"/>
        <v>0</v>
      </c>
      <c r="F69" s="511">
        <f t="shared" si="8"/>
        <v>0</v>
      </c>
      <c r="G69" s="524">
        <f t="shared" si="9"/>
        <v>0</v>
      </c>
      <c r="H69" s="478">
        <f t="shared" si="10"/>
        <v>0</v>
      </c>
      <c r="I69" s="501">
        <f t="shared" si="1"/>
        <v>0</v>
      </c>
      <c r="J69" s="501"/>
      <c r="K69" s="513"/>
      <c r="L69" s="505">
        <f t="shared" si="2"/>
        <v>0</v>
      </c>
      <c r="M69" s="513"/>
      <c r="N69" s="505">
        <f t="shared" si="3"/>
        <v>0</v>
      </c>
      <c r="O69" s="505">
        <f t="shared" si="4"/>
        <v>0</v>
      </c>
      <c r="P69" s="279"/>
    </row>
    <row r="70" spans="2:16">
      <c r="B70" s="145" t="str">
        <f t="shared" si="0"/>
        <v/>
      </c>
      <c r="C70" s="496">
        <f>IF(D11="","-",+C69+1)</f>
        <v>2071</v>
      </c>
      <c r="D70" s="509">
        <f>IF(F69+SUM(E$17:E69)=D$10,F69,D$10-SUM(E$17:E69))</f>
        <v>0</v>
      </c>
      <c r="E70" s="510">
        <f t="shared" si="7"/>
        <v>0</v>
      </c>
      <c r="F70" s="511">
        <f t="shared" si="8"/>
        <v>0</v>
      </c>
      <c r="G70" s="524">
        <f t="shared" si="9"/>
        <v>0</v>
      </c>
      <c r="H70" s="478">
        <f t="shared" si="10"/>
        <v>0</v>
      </c>
      <c r="I70" s="501">
        <f t="shared" si="1"/>
        <v>0</v>
      </c>
      <c r="J70" s="501"/>
      <c r="K70" s="513"/>
      <c r="L70" s="505">
        <f t="shared" si="2"/>
        <v>0</v>
      </c>
      <c r="M70" s="513"/>
      <c r="N70" s="505">
        <f t="shared" si="3"/>
        <v>0</v>
      </c>
      <c r="O70" s="505">
        <f t="shared" si="4"/>
        <v>0</v>
      </c>
      <c r="P70" s="279"/>
    </row>
    <row r="71" spans="2:16">
      <c r="B71" s="145" t="str">
        <f t="shared" si="0"/>
        <v/>
      </c>
      <c r="C71" s="496">
        <f>IF(D11="","-",+C70+1)</f>
        <v>2072</v>
      </c>
      <c r="D71" s="509">
        <f>IF(F70+SUM(E$17:E70)=D$10,F70,D$10-SUM(E$17:E70))</f>
        <v>0</v>
      </c>
      <c r="E71" s="510">
        <f t="shared" si="7"/>
        <v>0</v>
      </c>
      <c r="F71" s="511">
        <f t="shared" si="8"/>
        <v>0</v>
      </c>
      <c r="G71" s="524">
        <f t="shared" si="9"/>
        <v>0</v>
      </c>
      <c r="H71" s="478">
        <f t="shared" si="10"/>
        <v>0</v>
      </c>
      <c r="I71" s="501">
        <f t="shared" si="1"/>
        <v>0</v>
      </c>
      <c r="J71" s="501"/>
      <c r="K71" s="513"/>
      <c r="L71" s="505">
        <f t="shared" si="2"/>
        <v>0</v>
      </c>
      <c r="M71" s="513"/>
      <c r="N71" s="505">
        <f t="shared" si="3"/>
        <v>0</v>
      </c>
      <c r="O71" s="505">
        <f t="shared" si="4"/>
        <v>0</v>
      </c>
      <c r="P71" s="279"/>
    </row>
    <row r="72" spans="2:16">
      <c r="C72" s="496">
        <f>IF(D12="","-",+C71+1)</f>
        <v>2073</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2074</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17093290</v>
      </c>
      <c r="F74" s="295"/>
      <c r="G74" s="295">
        <f>SUM(G17:G73)</f>
        <v>48879022.67221421</v>
      </c>
      <c r="H74" s="295">
        <f>SUM(H17:H73)</f>
        <v>48879022.67221421</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18 of 20</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2021</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2147888.2260048082</v>
      </c>
      <c r="N88" s="545">
        <f>IF(J93&lt;D11,0,VLOOKUP(J93,C17:O73,11))</f>
        <v>2147888.2260048082</v>
      </c>
      <c r="O88" s="546">
        <f>+N88-M88</f>
        <v>0</v>
      </c>
      <c r="P88" s="244"/>
    </row>
    <row r="89" spans="1:16" ht="15.75">
      <c r="C89" s="236"/>
      <c r="D89" s="293"/>
      <c r="E89" s="244"/>
      <c r="F89" s="244"/>
      <c r="G89" s="244"/>
      <c r="H89" s="244"/>
      <c r="I89" s="450"/>
      <c r="J89" s="450"/>
      <c r="K89" s="547"/>
      <c r="L89" s="548" t="s">
        <v>254</v>
      </c>
      <c r="M89" s="549">
        <f>IF(J93&lt;D11,0,VLOOKUP(J93,C100:P155,6))</f>
        <v>2475241.9762378884</v>
      </c>
      <c r="N89" s="549">
        <f>IF(J93&lt;D11,0,VLOOKUP(J93,C100:P155,7))</f>
        <v>2475241.9762378884</v>
      </c>
      <c r="O89" s="550">
        <f>+N89-M89</f>
        <v>0</v>
      </c>
      <c r="P89" s="244"/>
    </row>
    <row r="90" spans="1:16" ht="13.5" thickBot="1">
      <c r="C90" s="455" t="s">
        <v>82</v>
      </c>
      <c r="D90" s="551" t="str">
        <f>+D7</f>
        <v>Fort Towson-Valliant 69 KV Line Rebuild</v>
      </c>
      <c r="E90" s="244"/>
      <c r="F90" s="244"/>
      <c r="G90" s="244"/>
      <c r="H90" s="244"/>
      <c r="I90" s="326"/>
      <c r="J90" s="326"/>
      <c r="K90" s="552"/>
      <c r="L90" s="553" t="s">
        <v>135</v>
      </c>
      <c r="M90" s="554">
        <f>+M89-M88</f>
        <v>327353.75023308024</v>
      </c>
      <c r="N90" s="554">
        <f>+N89-N88</f>
        <v>327353.75023308024</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TP2015204</v>
      </c>
      <c r="E92" s="559"/>
      <c r="F92" s="559"/>
      <c r="G92" s="559"/>
      <c r="H92" s="559"/>
      <c r="I92" s="559"/>
      <c r="J92" s="559"/>
      <c r="K92" s="561"/>
      <c r="P92" s="469"/>
    </row>
    <row r="93" spans="1:16">
      <c r="C93" s="473" t="s">
        <v>49</v>
      </c>
      <c r="D93" s="475">
        <v>17093291</v>
      </c>
      <c r="E93" s="249" t="s">
        <v>84</v>
      </c>
      <c r="H93" s="409"/>
      <c r="I93" s="409"/>
      <c r="J93" s="472">
        <f>+'OKT.WS.G.BPU.ATRR.True-up'!M16</f>
        <v>2021</v>
      </c>
      <c r="K93" s="468"/>
      <c r="L93" s="295" t="s">
        <v>85</v>
      </c>
      <c r="P93" s="279"/>
    </row>
    <row r="94" spans="1:16">
      <c r="C94" s="473" t="s">
        <v>52</v>
      </c>
      <c r="D94" s="562">
        <f>IF(D11="","",D11)</f>
        <v>2018</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562">
        <f>IF(D12="","",D12)</f>
        <v>12</v>
      </c>
      <c r="E95" s="473" t="s">
        <v>55</v>
      </c>
      <c r="F95" s="409"/>
      <c r="G95" s="409"/>
      <c r="J95" s="477">
        <f>'OKT.WS.G.BPU.ATRR.True-up'!$F$81</f>
        <v>0.11796201313639214</v>
      </c>
      <c r="K95" s="414"/>
      <c r="L95" s="145" t="s">
        <v>86</v>
      </c>
      <c r="P95" s="279"/>
    </row>
    <row r="96" spans="1:16">
      <c r="C96" s="473" t="s">
        <v>57</v>
      </c>
      <c r="D96" s="475">
        <f>'OKT.WS.G.BPU.ATRR.True-up'!F$93</f>
        <v>25</v>
      </c>
      <c r="E96" s="473" t="s">
        <v>58</v>
      </c>
      <c r="F96" s="409"/>
      <c r="G96" s="409"/>
      <c r="J96" s="477">
        <f>IF(H88="",J95,'OKT.WS.G.BPU.ATRR.True-up'!$F$80)</f>
        <v>0.11796201313639214</v>
      </c>
      <c r="K96" s="292"/>
      <c r="L96" s="295" t="s">
        <v>59</v>
      </c>
      <c r="M96" s="292"/>
      <c r="N96" s="292"/>
      <c r="O96" s="292"/>
      <c r="P96" s="279"/>
    </row>
    <row r="97" spans="1:16" ht="13.5" thickBot="1">
      <c r="C97" s="473" t="s">
        <v>60</v>
      </c>
      <c r="D97" s="563" t="str">
        <f>+D14</f>
        <v>No</v>
      </c>
      <c r="E97" s="564" t="s">
        <v>62</v>
      </c>
      <c r="F97" s="565"/>
      <c r="G97" s="565"/>
      <c r="H97" s="566"/>
      <c r="I97" s="566"/>
      <c r="J97" s="459">
        <f>IF(D93=0,0,D93/D96)</f>
        <v>683731.64</v>
      </c>
      <c r="K97" s="295"/>
      <c r="L97" s="295"/>
      <c r="M97" s="295"/>
      <c r="N97" s="295"/>
      <c r="O97" s="295"/>
      <c r="P97" s="279"/>
    </row>
    <row r="98" spans="1:16"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c r="B100" s="145" t="str">
        <f t="shared" ref="B100:B155" si="11">IF(D100=F99,"","IU")</f>
        <v>IU</v>
      </c>
      <c r="C100" s="496">
        <f>IF(D94= "","-",D94)</f>
        <v>2018</v>
      </c>
      <c r="D100" s="497">
        <v>15445577.166666666</v>
      </c>
      <c r="E100" s="499">
        <v>435826.05555555556</v>
      </c>
      <c r="F100" s="506">
        <v>15009751.11111111</v>
      </c>
      <c r="G100" s="506">
        <v>15227664.138888888</v>
      </c>
      <c r="H100" s="499">
        <v>2043295.5761149421</v>
      </c>
      <c r="I100" s="500">
        <v>2043295.5761149421</v>
      </c>
      <c r="J100" s="505">
        <f t="shared" ref="J100:J131" si="12">+I100-H100</f>
        <v>0</v>
      </c>
      <c r="K100" s="505"/>
      <c r="L100" s="507">
        <f>+H100</f>
        <v>2043295.5761149421</v>
      </c>
      <c r="M100" s="505">
        <f t="shared" ref="M100" si="13">IF(L100&lt;&gt;0,+H100-L100,0)</f>
        <v>0</v>
      </c>
      <c r="N100" s="507">
        <f>+I100</f>
        <v>2043295.5761149421</v>
      </c>
      <c r="O100" s="587">
        <f t="shared" ref="O100" si="14">IF(N100&lt;&gt;0,+I100-N100,0)</f>
        <v>0</v>
      </c>
      <c r="P100" s="505">
        <f t="shared" ref="P100" si="15">+O100-M100</f>
        <v>0</v>
      </c>
    </row>
    <row r="101" spans="1:16">
      <c r="B101" s="145" t="str">
        <f t="shared" si="11"/>
        <v>IU</v>
      </c>
      <c r="C101" s="496">
        <f>IF(D94="","-",+C100+1)</f>
        <v>2019</v>
      </c>
      <c r="D101" s="497">
        <v>16656350.944444444</v>
      </c>
      <c r="E101" s="499">
        <v>517944.75757575757</v>
      </c>
      <c r="F101" s="506">
        <v>16138406.186868686</v>
      </c>
      <c r="G101" s="506">
        <v>16397378.565656565</v>
      </c>
      <c r="H101" s="499">
        <v>2289012.9236645</v>
      </c>
      <c r="I101" s="500">
        <v>2289012.9236645</v>
      </c>
      <c r="J101" s="505">
        <f t="shared" si="12"/>
        <v>0</v>
      </c>
      <c r="K101" s="505"/>
      <c r="L101" s="507">
        <f>H101</f>
        <v>2289012.9236645</v>
      </c>
      <c r="M101" s="505">
        <f>IF(L101&lt;&gt;0,+H101-L101,0)</f>
        <v>0</v>
      </c>
      <c r="N101" s="507">
        <f>I101</f>
        <v>2289012.9236645</v>
      </c>
      <c r="O101" s="505">
        <f t="shared" ref="O101:O131" si="16">IF(N101&lt;&gt;0,+I101-N101,0)</f>
        <v>0</v>
      </c>
      <c r="P101" s="505">
        <f t="shared" ref="P101:P131" si="17">+O101-M101</f>
        <v>0</v>
      </c>
    </row>
    <row r="102" spans="1:16">
      <c r="B102" s="145" t="str">
        <f t="shared" si="11"/>
        <v>IU</v>
      </c>
      <c r="C102" s="496">
        <f>IF(D94="","-",+C101+1)</f>
        <v>2020</v>
      </c>
      <c r="D102" s="497">
        <v>16139509.186868686</v>
      </c>
      <c r="E102" s="499">
        <v>610474.28571428568</v>
      </c>
      <c r="F102" s="506">
        <v>15529034.901154401</v>
      </c>
      <c r="G102" s="506">
        <v>15834272.044011544</v>
      </c>
      <c r="H102" s="499">
        <v>2295454.5775651671</v>
      </c>
      <c r="I102" s="500">
        <v>2295454.5775651671</v>
      </c>
      <c r="J102" s="505">
        <f t="shared" si="12"/>
        <v>0</v>
      </c>
      <c r="K102" s="505"/>
      <c r="L102" s="507">
        <f>H102</f>
        <v>2295454.5775651671</v>
      </c>
      <c r="M102" s="505">
        <f>IF(L102&lt;&gt;0,+H102-L102,0)</f>
        <v>0</v>
      </c>
      <c r="N102" s="507">
        <f>I102</f>
        <v>2295454.5775651671</v>
      </c>
      <c r="O102" s="505">
        <f t="shared" si="16"/>
        <v>0</v>
      </c>
      <c r="P102" s="505">
        <f t="shared" si="17"/>
        <v>0</v>
      </c>
    </row>
    <row r="103" spans="1:16">
      <c r="B103" s="145" t="str">
        <f t="shared" si="11"/>
        <v>IU</v>
      </c>
      <c r="C103" s="496">
        <f>IF(D94="","-",+C102+1)</f>
        <v>2021</v>
      </c>
      <c r="D103" s="350">
        <f>IF(F102+SUM(E$100:E102)=D$93,F102,D$93-SUM(E$100:E102))</f>
        <v>15529045.901154401</v>
      </c>
      <c r="E103" s="510">
        <f t="shared" ref="E103:E155" si="18">IF(+J$97&lt;F102,J$97,D103)</f>
        <v>683731.64</v>
      </c>
      <c r="F103" s="511">
        <f t="shared" ref="F103:F155" si="19">+D103-E103</f>
        <v>14845314.2611544</v>
      </c>
      <c r="G103" s="511">
        <f t="shared" ref="G103:G155" si="20">+(F103+D103)/2</f>
        <v>15187180.0811544</v>
      </c>
      <c r="H103" s="646">
        <f t="shared" ref="H103:H155" si="21">(D103+F103)/2*J$95+E103</f>
        <v>2475241.9762378884</v>
      </c>
      <c r="I103" s="628">
        <f t="shared" ref="I103:I155" si="22">+J$96*G103+E103</f>
        <v>2475241.9762378884</v>
      </c>
      <c r="J103" s="505">
        <f t="shared" si="12"/>
        <v>0</v>
      </c>
      <c r="K103" s="505"/>
      <c r="L103" s="513"/>
      <c r="M103" s="505">
        <f t="shared" ref="M103:M131" si="23">IF(L103&lt;&gt;0,+H103-L103,0)</f>
        <v>0</v>
      </c>
      <c r="N103" s="513"/>
      <c r="O103" s="505">
        <f t="shared" si="16"/>
        <v>0</v>
      </c>
      <c r="P103" s="505">
        <f t="shared" si="17"/>
        <v>0</v>
      </c>
    </row>
    <row r="104" spans="1:16">
      <c r="B104" s="145" t="str">
        <f t="shared" si="11"/>
        <v/>
      </c>
      <c r="C104" s="496">
        <f>IF(D94="","-",+C103+1)</f>
        <v>2022</v>
      </c>
      <c r="D104" s="350">
        <f>IF(F103+SUM(E$100:E103)=D$93,F103,D$93-SUM(E$100:E103))</f>
        <v>14845314.2611544</v>
      </c>
      <c r="E104" s="510">
        <f t="shared" si="18"/>
        <v>683731.64</v>
      </c>
      <c r="F104" s="511">
        <f t="shared" si="19"/>
        <v>14161582.6211544</v>
      </c>
      <c r="G104" s="511">
        <f t="shared" si="20"/>
        <v>14503448.4411544</v>
      </c>
      <c r="H104" s="646">
        <f t="shared" si="21"/>
        <v>2394587.6155384416</v>
      </c>
      <c r="I104" s="628">
        <f t="shared" si="22"/>
        <v>2394587.6155384416</v>
      </c>
      <c r="J104" s="505">
        <f t="shared" si="12"/>
        <v>0</v>
      </c>
      <c r="K104" s="505"/>
      <c r="L104" s="513"/>
      <c r="M104" s="505">
        <f t="shared" si="23"/>
        <v>0</v>
      </c>
      <c r="N104" s="513"/>
      <c r="O104" s="505">
        <f t="shared" si="16"/>
        <v>0</v>
      </c>
      <c r="P104" s="505">
        <f t="shared" si="17"/>
        <v>0</v>
      </c>
    </row>
    <row r="105" spans="1:16">
      <c r="B105" s="145" t="str">
        <f t="shared" si="11"/>
        <v/>
      </c>
      <c r="C105" s="496">
        <f>IF(D94="","-",+C104+1)</f>
        <v>2023</v>
      </c>
      <c r="D105" s="350">
        <f>IF(F104+SUM(E$100:E104)=D$93,F104,D$93-SUM(E$100:E104))</f>
        <v>14161582.6211544</v>
      </c>
      <c r="E105" s="510">
        <f t="shared" si="18"/>
        <v>683731.64</v>
      </c>
      <c r="F105" s="511">
        <f t="shared" si="19"/>
        <v>13477850.981154399</v>
      </c>
      <c r="G105" s="511">
        <f t="shared" si="20"/>
        <v>13819716.801154399</v>
      </c>
      <c r="H105" s="646">
        <f t="shared" si="21"/>
        <v>2313933.2548389942</v>
      </c>
      <c r="I105" s="628">
        <f t="shared" si="22"/>
        <v>2313933.2548389942</v>
      </c>
      <c r="J105" s="505">
        <f t="shared" si="12"/>
        <v>0</v>
      </c>
      <c r="K105" s="505"/>
      <c r="L105" s="513"/>
      <c r="M105" s="505">
        <f t="shared" si="23"/>
        <v>0</v>
      </c>
      <c r="N105" s="513"/>
      <c r="O105" s="505">
        <f t="shared" si="16"/>
        <v>0</v>
      </c>
      <c r="P105" s="505">
        <f t="shared" si="17"/>
        <v>0</v>
      </c>
    </row>
    <row r="106" spans="1:16">
      <c r="B106" s="145" t="str">
        <f t="shared" si="11"/>
        <v/>
      </c>
      <c r="C106" s="496">
        <f>IF(D94="","-",+C105+1)</f>
        <v>2024</v>
      </c>
      <c r="D106" s="350">
        <f>IF(F105+SUM(E$100:E105)=D$93,F105,D$93-SUM(E$100:E105))</f>
        <v>13477850.981154399</v>
      </c>
      <c r="E106" s="510">
        <f t="shared" si="18"/>
        <v>683731.64</v>
      </c>
      <c r="F106" s="511">
        <f t="shared" si="19"/>
        <v>12794119.341154398</v>
      </c>
      <c r="G106" s="511">
        <f t="shared" si="20"/>
        <v>13135985.161154399</v>
      </c>
      <c r="H106" s="646">
        <f t="shared" si="21"/>
        <v>2233278.8941395474</v>
      </c>
      <c r="I106" s="628">
        <f t="shared" si="22"/>
        <v>2233278.8941395474</v>
      </c>
      <c r="J106" s="505">
        <f t="shared" si="12"/>
        <v>0</v>
      </c>
      <c r="K106" s="505"/>
      <c r="L106" s="513"/>
      <c r="M106" s="505">
        <f t="shared" si="23"/>
        <v>0</v>
      </c>
      <c r="N106" s="513"/>
      <c r="O106" s="505">
        <f t="shared" si="16"/>
        <v>0</v>
      </c>
      <c r="P106" s="505">
        <f t="shared" si="17"/>
        <v>0</v>
      </c>
    </row>
    <row r="107" spans="1:16">
      <c r="B107" s="145" t="str">
        <f t="shared" si="11"/>
        <v/>
      </c>
      <c r="C107" s="496">
        <f>IF(D94="","-",+C106+1)</f>
        <v>2025</v>
      </c>
      <c r="D107" s="350">
        <f>IF(F106+SUM(E$100:E106)=D$93,F106,D$93-SUM(E$100:E106))</f>
        <v>12794119.341154398</v>
      </c>
      <c r="E107" s="510">
        <f t="shared" si="18"/>
        <v>683731.64</v>
      </c>
      <c r="F107" s="511">
        <f t="shared" si="19"/>
        <v>12110387.701154398</v>
      </c>
      <c r="G107" s="511">
        <f t="shared" si="20"/>
        <v>12452253.521154398</v>
      </c>
      <c r="H107" s="646">
        <f t="shared" si="21"/>
        <v>2152624.5334401005</v>
      </c>
      <c r="I107" s="628">
        <f t="shared" si="22"/>
        <v>2152624.5334401005</v>
      </c>
      <c r="J107" s="505">
        <f t="shared" si="12"/>
        <v>0</v>
      </c>
      <c r="K107" s="505"/>
      <c r="L107" s="513"/>
      <c r="M107" s="505">
        <f t="shared" si="23"/>
        <v>0</v>
      </c>
      <c r="N107" s="513"/>
      <c r="O107" s="505">
        <f t="shared" si="16"/>
        <v>0</v>
      </c>
      <c r="P107" s="505">
        <f t="shared" si="17"/>
        <v>0</v>
      </c>
    </row>
    <row r="108" spans="1:16">
      <c r="B108" s="145" t="str">
        <f t="shared" si="11"/>
        <v/>
      </c>
      <c r="C108" s="496">
        <f>IF(D94="","-",+C107+1)</f>
        <v>2026</v>
      </c>
      <c r="D108" s="350">
        <f>IF(F107+SUM(E$100:E107)=D$93,F107,D$93-SUM(E$100:E107))</f>
        <v>12110387.701154398</v>
      </c>
      <c r="E108" s="510">
        <f t="shared" si="18"/>
        <v>683731.64</v>
      </c>
      <c r="F108" s="511">
        <f t="shared" si="19"/>
        <v>11426656.061154397</v>
      </c>
      <c r="G108" s="511">
        <f t="shared" si="20"/>
        <v>11768521.881154398</v>
      </c>
      <c r="H108" s="646">
        <f t="shared" si="21"/>
        <v>2071970.1727406532</v>
      </c>
      <c r="I108" s="628">
        <f t="shared" si="22"/>
        <v>2071970.1727406532</v>
      </c>
      <c r="J108" s="505">
        <f t="shared" si="12"/>
        <v>0</v>
      </c>
      <c r="K108" s="505"/>
      <c r="L108" s="513"/>
      <c r="M108" s="505">
        <f t="shared" si="23"/>
        <v>0</v>
      </c>
      <c r="N108" s="513"/>
      <c r="O108" s="505">
        <f t="shared" si="16"/>
        <v>0</v>
      </c>
      <c r="P108" s="505">
        <f t="shared" si="17"/>
        <v>0</v>
      </c>
    </row>
    <row r="109" spans="1:16">
      <c r="B109" s="145" t="str">
        <f t="shared" si="11"/>
        <v/>
      </c>
      <c r="C109" s="496">
        <f>IF(D94="","-",+C108+1)</f>
        <v>2027</v>
      </c>
      <c r="D109" s="350">
        <f>IF(F108+SUM(E$100:E108)=D$93,F108,D$93-SUM(E$100:E108))</f>
        <v>11426656.061154397</v>
      </c>
      <c r="E109" s="510">
        <f t="shared" si="18"/>
        <v>683731.64</v>
      </c>
      <c r="F109" s="511">
        <f t="shared" si="19"/>
        <v>10742924.421154397</v>
      </c>
      <c r="G109" s="511">
        <f t="shared" si="20"/>
        <v>11084790.241154397</v>
      </c>
      <c r="H109" s="646">
        <f t="shared" si="21"/>
        <v>1991315.8120412063</v>
      </c>
      <c r="I109" s="628">
        <f t="shared" si="22"/>
        <v>1991315.8120412063</v>
      </c>
      <c r="J109" s="505">
        <f t="shared" si="12"/>
        <v>0</v>
      </c>
      <c r="K109" s="505"/>
      <c r="L109" s="513"/>
      <c r="M109" s="505">
        <f t="shared" si="23"/>
        <v>0</v>
      </c>
      <c r="N109" s="513"/>
      <c r="O109" s="505">
        <f t="shared" si="16"/>
        <v>0</v>
      </c>
      <c r="P109" s="505">
        <f t="shared" si="17"/>
        <v>0</v>
      </c>
    </row>
    <row r="110" spans="1:16">
      <c r="B110" s="145" t="str">
        <f t="shared" si="11"/>
        <v/>
      </c>
      <c r="C110" s="496">
        <f>IF(D94="","-",+C109+1)</f>
        <v>2028</v>
      </c>
      <c r="D110" s="350">
        <f>IF(F109+SUM(E$100:E109)=D$93,F109,D$93-SUM(E$100:E109))</f>
        <v>10742924.421154397</v>
      </c>
      <c r="E110" s="510">
        <f t="shared" si="18"/>
        <v>683731.64</v>
      </c>
      <c r="F110" s="511">
        <f t="shared" si="19"/>
        <v>10059192.781154396</v>
      </c>
      <c r="G110" s="511">
        <f t="shared" si="20"/>
        <v>10401058.601154396</v>
      </c>
      <c r="H110" s="646">
        <f t="shared" si="21"/>
        <v>1910661.4513417594</v>
      </c>
      <c r="I110" s="628">
        <f t="shared" si="22"/>
        <v>1910661.4513417594</v>
      </c>
      <c r="J110" s="505">
        <f t="shared" si="12"/>
        <v>0</v>
      </c>
      <c r="K110" s="505"/>
      <c r="L110" s="513"/>
      <c r="M110" s="505">
        <f t="shared" si="23"/>
        <v>0</v>
      </c>
      <c r="N110" s="513"/>
      <c r="O110" s="505">
        <f t="shared" si="16"/>
        <v>0</v>
      </c>
      <c r="P110" s="505">
        <f t="shared" si="17"/>
        <v>0</v>
      </c>
    </row>
    <row r="111" spans="1:16">
      <c r="B111" s="145" t="str">
        <f t="shared" si="11"/>
        <v/>
      </c>
      <c r="C111" s="496">
        <f>IF(D94="","-",+C110+1)</f>
        <v>2029</v>
      </c>
      <c r="D111" s="350">
        <f>IF(F110+SUM(E$100:E110)=D$93,F110,D$93-SUM(E$100:E110))</f>
        <v>10059192.781154396</v>
      </c>
      <c r="E111" s="510">
        <f t="shared" si="18"/>
        <v>683731.64</v>
      </c>
      <c r="F111" s="511">
        <f t="shared" si="19"/>
        <v>9375461.1411543954</v>
      </c>
      <c r="G111" s="511">
        <f t="shared" si="20"/>
        <v>9717326.9611543957</v>
      </c>
      <c r="H111" s="646">
        <f t="shared" si="21"/>
        <v>1830007.0906423125</v>
      </c>
      <c r="I111" s="628">
        <f t="shared" si="22"/>
        <v>1830007.0906423125</v>
      </c>
      <c r="J111" s="505">
        <f t="shared" si="12"/>
        <v>0</v>
      </c>
      <c r="K111" s="505"/>
      <c r="L111" s="513"/>
      <c r="M111" s="505">
        <f t="shared" si="23"/>
        <v>0</v>
      </c>
      <c r="N111" s="513"/>
      <c r="O111" s="505">
        <f t="shared" si="16"/>
        <v>0</v>
      </c>
      <c r="P111" s="505">
        <f t="shared" si="17"/>
        <v>0</v>
      </c>
    </row>
    <row r="112" spans="1:16">
      <c r="B112" s="145" t="str">
        <f t="shared" si="11"/>
        <v/>
      </c>
      <c r="C112" s="496">
        <f>IF(D94="","-",+C111+1)</f>
        <v>2030</v>
      </c>
      <c r="D112" s="350">
        <f>IF(F111+SUM(E$100:E111)=D$93,F111,D$93-SUM(E$100:E111))</f>
        <v>9375461.1411543954</v>
      </c>
      <c r="E112" s="510">
        <f t="shared" si="18"/>
        <v>683731.64</v>
      </c>
      <c r="F112" s="511">
        <f t="shared" si="19"/>
        <v>8691729.5011543948</v>
      </c>
      <c r="G112" s="511">
        <f t="shared" si="20"/>
        <v>9033595.3211543951</v>
      </c>
      <c r="H112" s="646">
        <f t="shared" si="21"/>
        <v>1749352.7299428652</v>
      </c>
      <c r="I112" s="628">
        <f t="shared" si="22"/>
        <v>1749352.7299428652</v>
      </c>
      <c r="J112" s="505">
        <f t="shared" si="12"/>
        <v>0</v>
      </c>
      <c r="K112" s="505"/>
      <c r="L112" s="513"/>
      <c r="M112" s="505">
        <f t="shared" si="23"/>
        <v>0</v>
      </c>
      <c r="N112" s="513"/>
      <c r="O112" s="505">
        <f t="shared" si="16"/>
        <v>0</v>
      </c>
      <c r="P112" s="505">
        <f t="shared" si="17"/>
        <v>0</v>
      </c>
    </row>
    <row r="113" spans="2:16">
      <c r="B113" s="145" t="str">
        <f t="shared" si="11"/>
        <v/>
      </c>
      <c r="C113" s="496">
        <f>IF(D94="","-",+C112+1)</f>
        <v>2031</v>
      </c>
      <c r="D113" s="350">
        <f>IF(F112+SUM(E$100:E112)=D$93,F112,D$93-SUM(E$100:E112))</f>
        <v>8691729.5011543948</v>
      </c>
      <c r="E113" s="510">
        <f t="shared" si="18"/>
        <v>683731.64</v>
      </c>
      <c r="F113" s="511">
        <f t="shared" si="19"/>
        <v>8007997.8611543952</v>
      </c>
      <c r="G113" s="511">
        <f t="shared" si="20"/>
        <v>8349863.6811543945</v>
      </c>
      <c r="H113" s="646">
        <f t="shared" si="21"/>
        <v>1668698.3692434183</v>
      </c>
      <c r="I113" s="628">
        <f t="shared" si="22"/>
        <v>1668698.3692434183</v>
      </c>
      <c r="J113" s="505">
        <f t="shared" si="12"/>
        <v>0</v>
      </c>
      <c r="K113" s="505"/>
      <c r="L113" s="513"/>
      <c r="M113" s="505">
        <f t="shared" si="23"/>
        <v>0</v>
      </c>
      <c r="N113" s="513"/>
      <c r="O113" s="505">
        <f t="shared" si="16"/>
        <v>0</v>
      </c>
      <c r="P113" s="505">
        <f t="shared" si="17"/>
        <v>0</v>
      </c>
    </row>
    <row r="114" spans="2:16">
      <c r="B114" s="145" t="str">
        <f t="shared" si="11"/>
        <v/>
      </c>
      <c r="C114" s="496">
        <f>IF(D94="","-",+C113+1)</f>
        <v>2032</v>
      </c>
      <c r="D114" s="350">
        <f>IF(F113+SUM(E$100:E113)=D$93,F113,D$93-SUM(E$100:E113))</f>
        <v>8007997.8611543952</v>
      </c>
      <c r="E114" s="510">
        <f t="shared" si="18"/>
        <v>683731.64</v>
      </c>
      <c r="F114" s="511">
        <f t="shared" si="19"/>
        <v>7324266.2211543955</v>
      </c>
      <c r="G114" s="511">
        <f t="shared" si="20"/>
        <v>7666132.0411543958</v>
      </c>
      <c r="H114" s="646">
        <f t="shared" si="21"/>
        <v>1588044.0085439715</v>
      </c>
      <c r="I114" s="628">
        <f t="shared" si="22"/>
        <v>1588044.0085439715</v>
      </c>
      <c r="J114" s="505">
        <f t="shared" si="12"/>
        <v>0</v>
      </c>
      <c r="K114" s="505"/>
      <c r="L114" s="513"/>
      <c r="M114" s="505">
        <f t="shared" si="23"/>
        <v>0</v>
      </c>
      <c r="N114" s="513"/>
      <c r="O114" s="505">
        <f t="shared" si="16"/>
        <v>0</v>
      </c>
      <c r="P114" s="505">
        <f t="shared" si="17"/>
        <v>0</v>
      </c>
    </row>
    <row r="115" spans="2:16">
      <c r="B115" s="145" t="str">
        <f t="shared" si="11"/>
        <v/>
      </c>
      <c r="C115" s="496">
        <f>IF(D94="","-",+C114+1)</f>
        <v>2033</v>
      </c>
      <c r="D115" s="350">
        <f>IF(F114+SUM(E$100:E114)=D$93,F114,D$93-SUM(E$100:E114))</f>
        <v>7324266.2211543955</v>
      </c>
      <c r="E115" s="510">
        <f t="shared" si="18"/>
        <v>683731.64</v>
      </c>
      <c r="F115" s="511">
        <f t="shared" si="19"/>
        <v>6640534.5811543958</v>
      </c>
      <c r="G115" s="511">
        <f t="shared" si="20"/>
        <v>6982400.4011543952</v>
      </c>
      <c r="H115" s="646">
        <f t="shared" si="21"/>
        <v>1507389.6478445246</v>
      </c>
      <c r="I115" s="628">
        <f t="shared" si="22"/>
        <v>1507389.6478445246</v>
      </c>
      <c r="J115" s="505">
        <f t="shared" si="12"/>
        <v>0</v>
      </c>
      <c r="K115" s="505"/>
      <c r="L115" s="513"/>
      <c r="M115" s="505">
        <f t="shared" si="23"/>
        <v>0</v>
      </c>
      <c r="N115" s="513"/>
      <c r="O115" s="505">
        <f t="shared" si="16"/>
        <v>0</v>
      </c>
      <c r="P115" s="505">
        <f t="shared" si="17"/>
        <v>0</v>
      </c>
    </row>
    <row r="116" spans="2:16">
      <c r="B116" s="145" t="str">
        <f t="shared" si="11"/>
        <v/>
      </c>
      <c r="C116" s="496">
        <f>IF(D94="","-",+C115+1)</f>
        <v>2034</v>
      </c>
      <c r="D116" s="350">
        <f>IF(F115+SUM(E$100:E115)=D$93,F115,D$93-SUM(E$100:E115))</f>
        <v>6640534.5811543958</v>
      </c>
      <c r="E116" s="510">
        <f t="shared" si="18"/>
        <v>683731.64</v>
      </c>
      <c r="F116" s="511">
        <f t="shared" si="19"/>
        <v>5956802.9411543962</v>
      </c>
      <c r="G116" s="511">
        <f t="shared" si="20"/>
        <v>6298668.7611543965</v>
      </c>
      <c r="H116" s="646">
        <f t="shared" si="21"/>
        <v>1426735.2871450777</v>
      </c>
      <c r="I116" s="628">
        <f t="shared" si="22"/>
        <v>1426735.2871450777</v>
      </c>
      <c r="J116" s="505">
        <f t="shared" si="12"/>
        <v>0</v>
      </c>
      <c r="K116" s="505"/>
      <c r="L116" s="513"/>
      <c r="M116" s="505">
        <f t="shared" si="23"/>
        <v>0</v>
      </c>
      <c r="N116" s="513"/>
      <c r="O116" s="505">
        <f t="shared" si="16"/>
        <v>0</v>
      </c>
      <c r="P116" s="505">
        <f t="shared" si="17"/>
        <v>0</v>
      </c>
    </row>
    <row r="117" spans="2:16">
      <c r="B117" s="145" t="str">
        <f t="shared" si="11"/>
        <v/>
      </c>
      <c r="C117" s="496">
        <f>IF(D94="","-",+C116+1)</f>
        <v>2035</v>
      </c>
      <c r="D117" s="350">
        <f>IF(F116+SUM(E$100:E116)=D$93,F116,D$93-SUM(E$100:E116))</f>
        <v>5956802.9411543962</v>
      </c>
      <c r="E117" s="510">
        <f t="shared" si="18"/>
        <v>683731.64</v>
      </c>
      <c r="F117" s="511">
        <f t="shared" si="19"/>
        <v>5273071.3011543965</v>
      </c>
      <c r="G117" s="511">
        <f t="shared" si="20"/>
        <v>5614937.1211543959</v>
      </c>
      <c r="H117" s="646">
        <f t="shared" si="21"/>
        <v>1346080.9264456308</v>
      </c>
      <c r="I117" s="628">
        <f t="shared" si="22"/>
        <v>1346080.9264456308</v>
      </c>
      <c r="J117" s="505">
        <f t="shared" si="12"/>
        <v>0</v>
      </c>
      <c r="K117" s="505"/>
      <c r="L117" s="513"/>
      <c r="M117" s="505">
        <f t="shared" si="23"/>
        <v>0</v>
      </c>
      <c r="N117" s="513"/>
      <c r="O117" s="505">
        <f t="shared" si="16"/>
        <v>0</v>
      </c>
      <c r="P117" s="505">
        <f t="shared" si="17"/>
        <v>0</v>
      </c>
    </row>
    <row r="118" spans="2:16">
      <c r="B118" s="145" t="str">
        <f t="shared" si="11"/>
        <v/>
      </c>
      <c r="C118" s="496">
        <f>IF(D94="","-",+C117+1)</f>
        <v>2036</v>
      </c>
      <c r="D118" s="350">
        <f>IF(F117+SUM(E$100:E117)=D$93,F117,D$93-SUM(E$100:E117))</f>
        <v>5273071.3011543965</v>
      </c>
      <c r="E118" s="510">
        <f t="shared" si="18"/>
        <v>683731.64</v>
      </c>
      <c r="F118" s="511">
        <f t="shared" si="19"/>
        <v>4589339.6611543968</v>
      </c>
      <c r="G118" s="511">
        <f t="shared" si="20"/>
        <v>4931205.4811543971</v>
      </c>
      <c r="H118" s="646">
        <f t="shared" si="21"/>
        <v>1265426.565746184</v>
      </c>
      <c r="I118" s="628">
        <f t="shared" si="22"/>
        <v>1265426.565746184</v>
      </c>
      <c r="J118" s="505">
        <f t="shared" si="12"/>
        <v>0</v>
      </c>
      <c r="K118" s="505"/>
      <c r="L118" s="513"/>
      <c r="M118" s="505">
        <f t="shared" si="23"/>
        <v>0</v>
      </c>
      <c r="N118" s="513"/>
      <c r="O118" s="505">
        <f t="shared" si="16"/>
        <v>0</v>
      </c>
      <c r="P118" s="505">
        <f t="shared" si="17"/>
        <v>0</v>
      </c>
    </row>
    <row r="119" spans="2:16">
      <c r="B119" s="145" t="str">
        <f t="shared" si="11"/>
        <v/>
      </c>
      <c r="C119" s="496">
        <f>IF(D94="","-",+C118+1)</f>
        <v>2037</v>
      </c>
      <c r="D119" s="350">
        <f>IF(F118+SUM(E$100:E118)=D$93,F118,D$93-SUM(E$100:E118))</f>
        <v>4589339.6611543968</v>
      </c>
      <c r="E119" s="510">
        <f t="shared" si="18"/>
        <v>683731.64</v>
      </c>
      <c r="F119" s="511">
        <f t="shared" si="19"/>
        <v>3905608.0211543967</v>
      </c>
      <c r="G119" s="511">
        <f t="shared" si="20"/>
        <v>4247473.8411543965</v>
      </c>
      <c r="H119" s="646">
        <f t="shared" si="21"/>
        <v>1184772.2050467369</v>
      </c>
      <c r="I119" s="628">
        <f t="shared" si="22"/>
        <v>1184772.2050467369</v>
      </c>
      <c r="J119" s="505">
        <f t="shared" si="12"/>
        <v>0</v>
      </c>
      <c r="K119" s="505"/>
      <c r="L119" s="513"/>
      <c r="M119" s="505">
        <f t="shared" si="23"/>
        <v>0</v>
      </c>
      <c r="N119" s="513"/>
      <c r="O119" s="505">
        <f t="shared" si="16"/>
        <v>0</v>
      </c>
      <c r="P119" s="505">
        <f t="shared" si="17"/>
        <v>0</v>
      </c>
    </row>
    <row r="120" spans="2:16">
      <c r="B120" s="145" t="str">
        <f t="shared" si="11"/>
        <v/>
      </c>
      <c r="C120" s="496">
        <f>IF(D94="","-",+C119+1)</f>
        <v>2038</v>
      </c>
      <c r="D120" s="350">
        <f>IF(F119+SUM(E$100:E119)=D$93,F119,D$93-SUM(E$100:E119))</f>
        <v>3905608.0211543967</v>
      </c>
      <c r="E120" s="510">
        <f t="shared" si="18"/>
        <v>683731.64</v>
      </c>
      <c r="F120" s="511">
        <f t="shared" si="19"/>
        <v>3221876.3811543966</v>
      </c>
      <c r="G120" s="511">
        <f t="shared" si="20"/>
        <v>3563742.2011543969</v>
      </c>
      <c r="H120" s="646">
        <f t="shared" si="21"/>
        <v>1104117.84434729</v>
      </c>
      <c r="I120" s="628">
        <f t="shared" si="22"/>
        <v>1104117.84434729</v>
      </c>
      <c r="J120" s="505">
        <f t="shared" si="12"/>
        <v>0</v>
      </c>
      <c r="K120" s="505"/>
      <c r="L120" s="513"/>
      <c r="M120" s="505">
        <f t="shared" si="23"/>
        <v>0</v>
      </c>
      <c r="N120" s="513"/>
      <c r="O120" s="505">
        <f t="shared" si="16"/>
        <v>0</v>
      </c>
      <c r="P120" s="505">
        <f t="shared" si="17"/>
        <v>0</v>
      </c>
    </row>
    <row r="121" spans="2:16">
      <c r="B121" s="145" t="str">
        <f t="shared" si="11"/>
        <v/>
      </c>
      <c r="C121" s="496">
        <f>IF(D94="","-",+C120+1)</f>
        <v>2039</v>
      </c>
      <c r="D121" s="350">
        <f>IF(F120+SUM(E$100:E120)=D$93,F120,D$93-SUM(E$100:E120))</f>
        <v>3221876.3811543966</v>
      </c>
      <c r="E121" s="510">
        <f t="shared" si="18"/>
        <v>683731.64</v>
      </c>
      <c r="F121" s="511">
        <f t="shared" si="19"/>
        <v>2538144.7411543964</v>
      </c>
      <c r="G121" s="511">
        <f t="shared" si="20"/>
        <v>2880010.5611543963</v>
      </c>
      <c r="H121" s="646">
        <f t="shared" si="21"/>
        <v>1023463.483647843</v>
      </c>
      <c r="I121" s="628">
        <f t="shared" si="22"/>
        <v>1023463.483647843</v>
      </c>
      <c r="J121" s="505">
        <f t="shared" si="12"/>
        <v>0</v>
      </c>
      <c r="K121" s="505"/>
      <c r="L121" s="513"/>
      <c r="M121" s="505">
        <f t="shared" si="23"/>
        <v>0</v>
      </c>
      <c r="N121" s="513"/>
      <c r="O121" s="505">
        <f t="shared" si="16"/>
        <v>0</v>
      </c>
      <c r="P121" s="505">
        <f t="shared" si="17"/>
        <v>0</v>
      </c>
    </row>
    <row r="122" spans="2:16">
      <c r="B122" s="145" t="str">
        <f t="shared" si="11"/>
        <v/>
      </c>
      <c r="C122" s="496">
        <f>IF(D94="","-",+C121+1)</f>
        <v>2040</v>
      </c>
      <c r="D122" s="350">
        <f>IF(F121+SUM(E$100:E121)=D$93,F121,D$93-SUM(E$100:E121))</f>
        <v>2538144.7411543964</v>
      </c>
      <c r="E122" s="510">
        <f t="shared" si="18"/>
        <v>683731.64</v>
      </c>
      <c r="F122" s="511">
        <f t="shared" si="19"/>
        <v>1854413.1011543963</v>
      </c>
      <c r="G122" s="511">
        <f t="shared" si="20"/>
        <v>2196278.9211543966</v>
      </c>
      <c r="H122" s="646">
        <f t="shared" si="21"/>
        <v>942809.12294839614</v>
      </c>
      <c r="I122" s="628">
        <f t="shared" si="22"/>
        <v>942809.12294839614</v>
      </c>
      <c r="J122" s="505">
        <f t="shared" si="12"/>
        <v>0</v>
      </c>
      <c r="K122" s="505"/>
      <c r="L122" s="513"/>
      <c r="M122" s="505">
        <f t="shared" si="23"/>
        <v>0</v>
      </c>
      <c r="N122" s="513"/>
      <c r="O122" s="505">
        <f t="shared" si="16"/>
        <v>0</v>
      </c>
      <c r="P122" s="505">
        <f t="shared" si="17"/>
        <v>0</v>
      </c>
    </row>
    <row r="123" spans="2:16">
      <c r="B123" s="145" t="str">
        <f t="shared" si="11"/>
        <v/>
      </c>
      <c r="C123" s="496">
        <f>IF(D94="","-",+C122+1)</f>
        <v>2041</v>
      </c>
      <c r="D123" s="350">
        <f>IF(F122+SUM(E$100:E122)=D$93,F122,D$93-SUM(E$100:E122))</f>
        <v>1854413.1011543963</v>
      </c>
      <c r="E123" s="510">
        <f t="shared" si="18"/>
        <v>683731.64</v>
      </c>
      <c r="F123" s="511">
        <f t="shared" si="19"/>
        <v>1170681.4611543962</v>
      </c>
      <c r="G123" s="511">
        <f t="shared" si="20"/>
        <v>1512547.2811543962</v>
      </c>
      <c r="H123" s="646">
        <f t="shared" si="21"/>
        <v>862154.76224894915</v>
      </c>
      <c r="I123" s="628">
        <f t="shared" si="22"/>
        <v>862154.76224894915</v>
      </c>
      <c r="J123" s="505">
        <f t="shared" si="12"/>
        <v>0</v>
      </c>
      <c r="K123" s="505"/>
      <c r="L123" s="513"/>
      <c r="M123" s="505">
        <f t="shared" si="23"/>
        <v>0</v>
      </c>
      <c r="N123" s="513"/>
      <c r="O123" s="505">
        <f t="shared" si="16"/>
        <v>0</v>
      </c>
      <c r="P123" s="505">
        <f t="shared" si="17"/>
        <v>0</v>
      </c>
    </row>
    <row r="124" spans="2:16">
      <c r="B124" s="145" t="str">
        <f t="shared" si="11"/>
        <v/>
      </c>
      <c r="C124" s="496">
        <f>IF(D94="","-",+C123+1)</f>
        <v>2042</v>
      </c>
      <c r="D124" s="350">
        <f>IF(F123+SUM(E$100:E123)=D$93,F123,D$93-SUM(E$100:E123))</f>
        <v>1170681.4611543962</v>
      </c>
      <c r="E124" s="510">
        <f t="shared" si="18"/>
        <v>683731.64</v>
      </c>
      <c r="F124" s="511">
        <f t="shared" si="19"/>
        <v>486949.82115439617</v>
      </c>
      <c r="G124" s="511">
        <f t="shared" si="20"/>
        <v>828815.64115439611</v>
      </c>
      <c r="H124" s="646">
        <f t="shared" si="21"/>
        <v>781500.40154950216</v>
      </c>
      <c r="I124" s="628">
        <f t="shared" si="22"/>
        <v>781500.40154950216</v>
      </c>
      <c r="J124" s="505">
        <f t="shared" si="12"/>
        <v>0</v>
      </c>
      <c r="K124" s="505"/>
      <c r="L124" s="513"/>
      <c r="M124" s="505">
        <f t="shared" si="23"/>
        <v>0</v>
      </c>
      <c r="N124" s="513"/>
      <c r="O124" s="505">
        <f t="shared" si="16"/>
        <v>0</v>
      </c>
      <c r="P124" s="505">
        <f t="shared" si="17"/>
        <v>0</v>
      </c>
    </row>
    <row r="125" spans="2:16">
      <c r="B125" s="145" t="str">
        <f t="shared" si="11"/>
        <v/>
      </c>
      <c r="C125" s="496">
        <f>IF(D94="","-",+C124+1)</f>
        <v>2043</v>
      </c>
      <c r="D125" s="350">
        <f>IF(F124+SUM(E$100:E124)=D$93,F124,D$93-SUM(E$100:E124))</f>
        <v>486949.82115439617</v>
      </c>
      <c r="E125" s="510">
        <f t="shared" si="18"/>
        <v>486949.82115439617</v>
      </c>
      <c r="F125" s="511">
        <f t="shared" si="19"/>
        <v>0</v>
      </c>
      <c r="G125" s="511">
        <f t="shared" si="20"/>
        <v>243474.91057719808</v>
      </c>
      <c r="H125" s="646">
        <f t="shared" si="21"/>
        <v>515670.61175428552</v>
      </c>
      <c r="I125" s="628">
        <f t="shared" si="22"/>
        <v>515670.61175428552</v>
      </c>
      <c r="J125" s="505">
        <f t="shared" si="12"/>
        <v>0</v>
      </c>
      <c r="K125" s="505"/>
      <c r="L125" s="513"/>
      <c r="M125" s="505">
        <f t="shared" si="23"/>
        <v>0</v>
      </c>
      <c r="N125" s="513"/>
      <c r="O125" s="505">
        <f t="shared" si="16"/>
        <v>0</v>
      </c>
      <c r="P125" s="505">
        <f t="shared" si="17"/>
        <v>0</v>
      </c>
    </row>
    <row r="126" spans="2:16">
      <c r="B126" s="145" t="str">
        <f t="shared" si="11"/>
        <v/>
      </c>
      <c r="C126" s="496">
        <f>IF(D94="","-",+C125+1)</f>
        <v>2044</v>
      </c>
      <c r="D126" s="350">
        <f>IF(F125+SUM(E$100:E125)=D$93,F125,D$93-SUM(E$100:E125))</f>
        <v>0</v>
      </c>
      <c r="E126" s="510">
        <f t="shared" si="18"/>
        <v>0</v>
      </c>
      <c r="F126" s="511">
        <f t="shared" si="19"/>
        <v>0</v>
      </c>
      <c r="G126" s="511">
        <f t="shared" si="20"/>
        <v>0</v>
      </c>
      <c r="H126" s="646">
        <f t="shared" si="21"/>
        <v>0</v>
      </c>
      <c r="I126" s="628">
        <f t="shared" si="22"/>
        <v>0</v>
      </c>
      <c r="J126" s="505">
        <f t="shared" si="12"/>
        <v>0</v>
      </c>
      <c r="K126" s="505"/>
      <c r="L126" s="513"/>
      <c r="M126" s="505">
        <f t="shared" si="23"/>
        <v>0</v>
      </c>
      <c r="N126" s="513"/>
      <c r="O126" s="505">
        <f t="shared" si="16"/>
        <v>0</v>
      </c>
      <c r="P126" s="505">
        <f t="shared" si="17"/>
        <v>0</v>
      </c>
    </row>
    <row r="127" spans="2:16">
      <c r="B127" s="145" t="str">
        <f t="shared" si="11"/>
        <v/>
      </c>
      <c r="C127" s="496">
        <f>IF(D94="","-",+C126+1)</f>
        <v>2045</v>
      </c>
      <c r="D127" s="350">
        <f>IF(F126+SUM(E$100:E126)=D$93,F126,D$93-SUM(E$100:E126))</f>
        <v>0</v>
      </c>
      <c r="E127" s="510">
        <f t="shared" si="18"/>
        <v>0</v>
      </c>
      <c r="F127" s="511">
        <f t="shared" si="19"/>
        <v>0</v>
      </c>
      <c r="G127" s="511">
        <f t="shared" si="20"/>
        <v>0</v>
      </c>
      <c r="H127" s="646">
        <f t="shared" si="21"/>
        <v>0</v>
      </c>
      <c r="I127" s="628">
        <f t="shared" si="22"/>
        <v>0</v>
      </c>
      <c r="J127" s="505">
        <f t="shared" si="12"/>
        <v>0</v>
      </c>
      <c r="K127" s="505"/>
      <c r="L127" s="513"/>
      <c r="M127" s="505">
        <f t="shared" si="23"/>
        <v>0</v>
      </c>
      <c r="N127" s="513"/>
      <c r="O127" s="505">
        <f t="shared" si="16"/>
        <v>0</v>
      </c>
      <c r="P127" s="505">
        <f t="shared" si="17"/>
        <v>0</v>
      </c>
    </row>
    <row r="128" spans="2:16">
      <c r="B128" s="145" t="str">
        <f t="shared" si="11"/>
        <v/>
      </c>
      <c r="C128" s="496">
        <f>IF(D94="","-",+C127+1)</f>
        <v>2046</v>
      </c>
      <c r="D128" s="350">
        <f>IF(F127+SUM(E$100:E127)=D$93,F127,D$93-SUM(E$100:E127))</f>
        <v>0</v>
      </c>
      <c r="E128" s="510">
        <f t="shared" si="18"/>
        <v>0</v>
      </c>
      <c r="F128" s="511">
        <f t="shared" si="19"/>
        <v>0</v>
      </c>
      <c r="G128" s="511">
        <f t="shared" si="20"/>
        <v>0</v>
      </c>
      <c r="H128" s="646">
        <f t="shared" si="21"/>
        <v>0</v>
      </c>
      <c r="I128" s="628">
        <f t="shared" si="22"/>
        <v>0</v>
      </c>
      <c r="J128" s="505">
        <f t="shared" si="12"/>
        <v>0</v>
      </c>
      <c r="K128" s="505"/>
      <c r="L128" s="513"/>
      <c r="M128" s="505">
        <f t="shared" si="23"/>
        <v>0</v>
      </c>
      <c r="N128" s="513"/>
      <c r="O128" s="505">
        <f t="shared" si="16"/>
        <v>0</v>
      </c>
      <c r="P128" s="505">
        <f t="shared" si="17"/>
        <v>0</v>
      </c>
    </row>
    <row r="129" spans="2:16">
      <c r="B129" s="145" t="str">
        <f t="shared" si="11"/>
        <v/>
      </c>
      <c r="C129" s="496">
        <f>IF(D94="","-",+C128+1)</f>
        <v>2047</v>
      </c>
      <c r="D129" s="350">
        <f>IF(F128+SUM(E$100:E128)=D$93,F128,D$93-SUM(E$100:E128))</f>
        <v>0</v>
      </c>
      <c r="E129" s="510">
        <f t="shared" si="18"/>
        <v>0</v>
      </c>
      <c r="F129" s="511">
        <f t="shared" si="19"/>
        <v>0</v>
      </c>
      <c r="G129" s="511">
        <f t="shared" si="20"/>
        <v>0</v>
      </c>
      <c r="H129" s="646">
        <f t="shared" si="21"/>
        <v>0</v>
      </c>
      <c r="I129" s="628">
        <f t="shared" si="22"/>
        <v>0</v>
      </c>
      <c r="J129" s="505">
        <f t="shared" si="12"/>
        <v>0</v>
      </c>
      <c r="K129" s="505"/>
      <c r="L129" s="513"/>
      <c r="M129" s="505">
        <f t="shared" si="23"/>
        <v>0</v>
      </c>
      <c r="N129" s="513"/>
      <c r="O129" s="505">
        <f t="shared" si="16"/>
        <v>0</v>
      </c>
      <c r="P129" s="505">
        <f t="shared" si="17"/>
        <v>0</v>
      </c>
    </row>
    <row r="130" spans="2:16">
      <c r="B130" s="145" t="str">
        <f t="shared" si="11"/>
        <v/>
      </c>
      <c r="C130" s="496">
        <f>IF(D94="","-",+C129+1)</f>
        <v>2048</v>
      </c>
      <c r="D130" s="350">
        <f>IF(F129+SUM(E$100:E129)=D$93,F129,D$93-SUM(E$100:E129))</f>
        <v>0</v>
      </c>
      <c r="E130" s="510">
        <f t="shared" si="18"/>
        <v>0</v>
      </c>
      <c r="F130" s="511">
        <f t="shared" si="19"/>
        <v>0</v>
      </c>
      <c r="G130" s="511">
        <f t="shared" si="20"/>
        <v>0</v>
      </c>
      <c r="H130" s="646">
        <f t="shared" si="21"/>
        <v>0</v>
      </c>
      <c r="I130" s="628">
        <f t="shared" si="22"/>
        <v>0</v>
      </c>
      <c r="J130" s="505">
        <f t="shared" si="12"/>
        <v>0</v>
      </c>
      <c r="K130" s="505"/>
      <c r="L130" s="513"/>
      <c r="M130" s="505">
        <f t="shared" si="23"/>
        <v>0</v>
      </c>
      <c r="N130" s="513"/>
      <c r="O130" s="505">
        <f t="shared" si="16"/>
        <v>0</v>
      </c>
      <c r="P130" s="505">
        <f t="shared" si="17"/>
        <v>0</v>
      </c>
    </row>
    <row r="131" spans="2:16">
      <c r="B131" s="145" t="str">
        <f t="shared" si="11"/>
        <v/>
      </c>
      <c r="C131" s="496">
        <f>IF(D94="","-",+C130+1)</f>
        <v>2049</v>
      </c>
      <c r="D131" s="350">
        <f>IF(F130+SUM(E$100:E130)=D$93,F130,D$93-SUM(E$100:E130))</f>
        <v>0</v>
      </c>
      <c r="E131" s="510">
        <f t="shared" si="18"/>
        <v>0</v>
      </c>
      <c r="F131" s="511">
        <f t="shared" si="19"/>
        <v>0</v>
      </c>
      <c r="G131" s="511">
        <f t="shared" si="20"/>
        <v>0</v>
      </c>
      <c r="H131" s="646">
        <f t="shared" si="21"/>
        <v>0</v>
      </c>
      <c r="I131" s="628">
        <f t="shared" si="22"/>
        <v>0</v>
      </c>
      <c r="J131" s="505">
        <f t="shared" si="12"/>
        <v>0</v>
      </c>
      <c r="K131" s="505"/>
      <c r="L131" s="513"/>
      <c r="M131" s="505">
        <f t="shared" si="23"/>
        <v>0</v>
      </c>
      <c r="N131" s="513"/>
      <c r="O131" s="505">
        <f t="shared" si="16"/>
        <v>0</v>
      </c>
      <c r="P131" s="505">
        <f t="shared" si="17"/>
        <v>0</v>
      </c>
    </row>
    <row r="132" spans="2:16">
      <c r="B132" s="145" t="str">
        <f t="shared" si="11"/>
        <v/>
      </c>
      <c r="C132" s="496">
        <f>IF(D94="","-",+C131+1)</f>
        <v>2050</v>
      </c>
      <c r="D132" s="350">
        <f>IF(F131+SUM(E$100:E131)=D$93,F131,D$93-SUM(E$100:E131))</f>
        <v>0</v>
      </c>
      <c r="E132" s="510">
        <f t="shared" si="18"/>
        <v>0</v>
      </c>
      <c r="F132" s="511">
        <f t="shared" si="19"/>
        <v>0</v>
      </c>
      <c r="G132" s="511">
        <f t="shared" si="20"/>
        <v>0</v>
      </c>
      <c r="H132" s="646">
        <f t="shared" si="21"/>
        <v>0</v>
      </c>
      <c r="I132" s="628">
        <f t="shared" si="22"/>
        <v>0</v>
      </c>
      <c r="J132" s="505">
        <f t="shared" ref="J132:J155" si="24">+I542-H542</f>
        <v>0</v>
      </c>
      <c r="K132" s="505"/>
      <c r="L132" s="513"/>
      <c r="M132" s="505">
        <f t="shared" ref="M132:M155" si="25">IF(L542&lt;&gt;0,+H542-L542,0)</f>
        <v>0</v>
      </c>
      <c r="N132" s="513"/>
      <c r="O132" s="505">
        <f t="shared" ref="O132:O155" si="26">IF(N542&lt;&gt;0,+I542-N542,0)</f>
        <v>0</v>
      </c>
      <c r="P132" s="505">
        <f t="shared" ref="P132:P155" si="27">+O542-M542</f>
        <v>0</v>
      </c>
    </row>
    <row r="133" spans="2:16">
      <c r="B133" s="145" t="str">
        <f t="shared" si="11"/>
        <v/>
      </c>
      <c r="C133" s="496">
        <f>IF(D94="","-",+C132+1)</f>
        <v>2051</v>
      </c>
      <c r="D133" s="350">
        <f>IF(F132+SUM(E$100:E132)=D$93,F132,D$93-SUM(E$100:E132))</f>
        <v>0</v>
      </c>
      <c r="E133" s="510">
        <f t="shared" si="18"/>
        <v>0</v>
      </c>
      <c r="F133" s="511">
        <f t="shared" si="19"/>
        <v>0</v>
      </c>
      <c r="G133" s="511">
        <f t="shared" si="20"/>
        <v>0</v>
      </c>
      <c r="H133" s="646">
        <f t="shared" si="21"/>
        <v>0</v>
      </c>
      <c r="I133" s="628">
        <f t="shared" si="22"/>
        <v>0</v>
      </c>
      <c r="J133" s="505">
        <f t="shared" si="24"/>
        <v>0</v>
      </c>
      <c r="K133" s="505"/>
      <c r="L133" s="513"/>
      <c r="M133" s="505">
        <f t="shared" si="25"/>
        <v>0</v>
      </c>
      <c r="N133" s="513"/>
      <c r="O133" s="505">
        <f t="shared" si="26"/>
        <v>0</v>
      </c>
      <c r="P133" s="505">
        <f t="shared" si="27"/>
        <v>0</v>
      </c>
    </row>
    <row r="134" spans="2:16">
      <c r="B134" s="145" t="str">
        <f t="shared" si="11"/>
        <v/>
      </c>
      <c r="C134" s="496">
        <f>IF(D94="","-",+C133+1)</f>
        <v>2052</v>
      </c>
      <c r="D134" s="350">
        <f>IF(F133+SUM(E$100:E133)=D$93,F133,D$93-SUM(E$100:E133))</f>
        <v>0</v>
      </c>
      <c r="E134" s="510">
        <f t="shared" si="18"/>
        <v>0</v>
      </c>
      <c r="F134" s="511">
        <f t="shared" si="19"/>
        <v>0</v>
      </c>
      <c r="G134" s="511">
        <f t="shared" si="20"/>
        <v>0</v>
      </c>
      <c r="H134" s="646">
        <f t="shared" si="21"/>
        <v>0</v>
      </c>
      <c r="I134" s="628">
        <f t="shared" si="22"/>
        <v>0</v>
      </c>
      <c r="J134" s="505">
        <f t="shared" si="24"/>
        <v>0</v>
      </c>
      <c r="K134" s="505"/>
      <c r="L134" s="513"/>
      <c r="M134" s="505">
        <f t="shared" si="25"/>
        <v>0</v>
      </c>
      <c r="N134" s="513"/>
      <c r="O134" s="505">
        <f t="shared" si="26"/>
        <v>0</v>
      </c>
      <c r="P134" s="505">
        <f t="shared" si="27"/>
        <v>0</v>
      </c>
    </row>
    <row r="135" spans="2:16">
      <c r="B135" s="145" t="str">
        <f t="shared" si="11"/>
        <v/>
      </c>
      <c r="C135" s="496">
        <f>IF(D94="","-",+C134+1)</f>
        <v>2053</v>
      </c>
      <c r="D135" s="350">
        <f>IF(F134+SUM(E$100:E134)=D$93,F134,D$93-SUM(E$100:E134))</f>
        <v>0</v>
      </c>
      <c r="E135" s="510">
        <f t="shared" si="18"/>
        <v>0</v>
      </c>
      <c r="F135" s="511">
        <f t="shared" si="19"/>
        <v>0</v>
      </c>
      <c r="G135" s="511">
        <f t="shared" si="20"/>
        <v>0</v>
      </c>
      <c r="H135" s="646">
        <f t="shared" si="21"/>
        <v>0</v>
      </c>
      <c r="I135" s="628">
        <f t="shared" si="22"/>
        <v>0</v>
      </c>
      <c r="J135" s="505">
        <f t="shared" si="24"/>
        <v>0</v>
      </c>
      <c r="K135" s="505"/>
      <c r="L135" s="513"/>
      <c r="M135" s="505">
        <f t="shared" si="25"/>
        <v>0</v>
      </c>
      <c r="N135" s="513"/>
      <c r="O135" s="505">
        <f t="shared" si="26"/>
        <v>0</v>
      </c>
      <c r="P135" s="505">
        <f t="shared" si="27"/>
        <v>0</v>
      </c>
    </row>
    <row r="136" spans="2:16">
      <c r="B136" s="145" t="str">
        <f t="shared" si="11"/>
        <v/>
      </c>
      <c r="C136" s="496">
        <f>IF(D94="","-",+C135+1)</f>
        <v>2054</v>
      </c>
      <c r="D136" s="350">
        <f>IF(F135+SUM(E$100:E135)=D$93,F135,D$93-SUM(E$100:E135))</f>
        <v>0</v>
      </c>
      <c r="E136" s="510">
        <f t="shared" si="18"/>
        <v>0</v>
      </c>
      <c r="F136" s="511">
        <f t="shared" si="19"/>
        <v>0</v>
      </c>
      <c r="G136" s="511">
        <f t="shared" si="20"/>
        <v>0</v>
      </c>
      <c r="H136" s="646">
        <f t="shared" si="21"/>
        <v>0</v>
      </c>
      <c r="I136" s="628">
        <f t="shared" si="22"/>
        <v>0</v>
      </c>
      <c r="J136" s="505">
        <f t="shared" si="24"/>
        <v>0</v>
      </c>
      <c r="K136" s="505"/>
      <c r="L136" s="513"/>
      <c r="M136" s="505">
        <f t="shared" si="25"/>
        <v>0</v>
      </c>
      <c r="N136" s="513"/>
      <c r="O136" s="505">
        <f t="shared" si="26"/>
        <v>0</v>
      </c>
      <c r="P136" s="505">
        <f t="shared" si="27"/>
        <v>0</v>
      </c>
    </row>
    <row r="137" spans="2:16">
      <c r="B137" s="145" t="str">
        <f t="shared" si="11"/>
        <v/>
      </c>
      <c r="C137" s="496">
        <f>IF(D94="","-",+C136+1)</f>
        <v>2055</v>
      </c>
      <c r="D137" s="350">
        <f>IF(F136+SUM(E$100:E136)=D$93,F136,D$93-SUM(E$100:E136))</f>
        <v>0</v>
      </c>
      <c r="E137" s="510">
        <f t="shared" si="18"/>
        <v>0</v>
      </c>
      <c r="F137" s="511">
        <f t="shared" si="19"/>
        <v>0</v>
      </c>
      <c r="G137" s="511">
        <f t="shared" si="20"/>
        <v>0</v>
      </c>
      <c r="H137" s="646">
        <f t="shared" si="21"/>
        <v>0</v>
      </c>
      <c r="I137" s="628">
        <f t="shared" si="22"/>
        <v>0</v>
      </c>
      <c r="J137" s="505">
        <f t="shared" si="24"/>
        <v>0</v>
      </c>
      <c r="K137" s="505"/>
      <c r="L137" s="513"/>
      <c r="M137" s="505">
        <f t="shared" si="25"/>
        <v>0</v>
      </c>
      <c r="N137" s="513"/>
      <c r="O137" s="505">
        <f t="shared" si="26"/>
        <v>0</v>
      </c>
      <c r="P137" s="505">
        <f t="shared" si="27"/>
        <v>0</v>
      </c>
    </row>
    <row r="138" spans="2:16">
      <c r="B138" s="145" t="str">
        <f t="shared" si="11"/>
        <v/>
      </c>
      <c r="C138" s="496">
        <f>IF(D94="","-",+C137+1)</f>
        <v>2056</v>
      </c>
      <c r="D138" s="350">
        <f>IF(F137+SUM(E$100:E137)=D$93,F137,D$93-SUM(E$100:E137))</f>
        <v>0</v>
      </c>
      <c r="E138" s="510">
        <f t="shared" si="18"/>
        <v>0</v>
      </c>
      <c r="F138" s="511">
        <f t="shared" si="19"/>
        <v>0</v>
      </c>
      <c r="G138" s="511">
        <f t="shared" si="20"/>
        <v>0</v>
      </c>
      <c r="H138" s="646">
        <f t="shared" si="21"/>
        <v>0</v>
      </c>
      <c r="I138" s="628">
        <f t="shared" si="22"/>
        <v>0</v>
      </c>
      <c r="J138" s="505">
        <f t="shared" si="24"/>
        <v>0</v>
      </c>
      <c r="K138" s="505"/>
      <c r="L138" s="513"/>
      <c r="M138" s="505">
        <f t="shared" si="25"/>
        <v>0</v>
      </c>
      <c r="N138" s="513"/>
      <c r="O138" s="505">
        <f t="shared" si="26"/>
        <v>0</v>
      </c>
      <c r="P138" s="505">
        <f t="shared" si="27"/>
        <v>0</v>
      </c>
    </row>
    <row r="139" spans="2:16">
      <c r="B139" s="145" t="str">
        <f t="shared" si="11"/>
        <v/>
      </c>
      <c r="C139" s="496">
        <f>IF(D94="","-",+C138+1)</f>
        <v>2057</v>
      </c>
      <c r="D139" s="350">
        <f>IF(F138+SUM(E$100:E138)=D$93,F138,D$93-SUM(E$100:E138))</f>
        <v>0</v>
      </c>
      <c r="E139" s="510">
        <f t="shared" si="18"/>
        <v>0</v>
      </c>
      <c r="F139" s="511">
        <f t="shared" si="19"/>
        <v>0</v>
      </c>
      <c r="G139" s="511">
        <f t="shared" si="20"/>
        <v>0</v>
      </c>
      <c r="H139" s="646">
        <f t="shared" si="21"/>
        <v>0</v>
      </c>
      <c r="I139" s="628">
        <f t="shared" si="22"/>
        <v>0</v>
      </c>
      <c r="J139" s="505">
        <f t="shared" si="24"/>
        <v>0</v>
      </c>
      <c r="K139" s="505"/>
      <c r="L139" s="513"/>
      <c r="M139" s="505">
        <f t="shared" si="25"/>
        <v>0</v>
      </c>
      <c r="N139" s="513"/>
      <c r="O139" s="505">
        <f t="shared" si="26"/>
        <v>0</v>
      </c>
      <c r="P139" s="505">
        <f t="shared" si="27"/>
        <v>0</v>
      </c>
    </row>
    <row r="140" spans="2:16">
      <c r="B140" s="145" t="str">
        <f t="shared" si="11"/>
        <v/>
      </c>
      <c r="C140" s="496">
        <f>IF(D94="","-",+C139+1)</f>
        <v>2058</v>
      </c>
      <c r="D140" s="350">
        <f>IF(F139+SUM(E$100:E139)=D$93,F139,D$93-SUM(E$100:E139))</f>
        <v>0</v>
      </c>
      <c r="E140" s="510">
        <f t="shared" si="18"/>
        <v>0</v>
      </c>
      <c r="F140" s="511">
        <f t="shared" si="19"/>
        <v>0</v>
      </c>
      <c r="G140" s="511">
        <f t="shared" si="20"/>
        <v>0</v>
      </c>
      <c r="H140" s="646">
        <f t="shared" si="21"/>
        <v>0</v>
      </c>
      <c r="I140" s="628">
        <f t="shared" si="22"/>
        <v>0</v>
      </c>
      <c r="J140" s="505">
        <f t="shared" si="24"/>
        <v>0</v>
      </c>
      <c r="K140" s="505"/>
      <c r="L140" s="513"/>
      <c r="M140" s="505">
        <f t="shared" si="25"/>
        <v>0</v>
      </c>
      <c r="N140" s="513"/>
      <c r="O140" s="505">
        <f t="shared" si="26"/>
        <v>0</v>
      </c>
      <c r="P140" s="505">
        <f t="shared" si="27"/>
        <v>0</v>
      </c>
    </row>
    <row r="141" spans="2:16">
      <c r="B141" s="145" t="str">
        <f t="shared" si="11"/>
        <v/>
      </c>
      <c r="C141" s="496">
        <f>IF(D94="","-",+C140+1)</f>
        <v>2059</v>
      </c>
      <c r="D141" s="350">
        <f>IF(F140+SUM(E$100:E140)=D$93,F140,D$93-SUM(E$100:E140))</f>
        <v>0</v>
      </c>
      <c r="E141" s="510">
        <f t="shared" si="18"/>
        <v>0</v>
      </c>
      <c r="F141" s="511">
        <f t="shared" si="19"/>
        <v>0</v>
      </c>
      <c r="G141" s="511">
        <f t="shared" si="20"/>
        <v>0</v>
      </c>
      <c r="H141" s="646">
        <f t="shared" si="21"/>
        <v>0</v>
      </c>
      <c r="I141" s="628">
        <f t="shared" si="22"/>
        <v>0</v>
      </c>
      <c r="J141" s="505">
        <f t="shared" si="24"/>
        <v>0</v>
      </c>
      <c r="K141" s="505"/>
      <c r="L141" s="513"/>
      <c r="M141" s="505">
        <f t="shared" si="25"/>
        <v>0</v>
      </c>
      <c r="N141" s="513"/>
      <c r="O141" s="505">
        <f t="shared" si="26"/>
        <v>0</v>
      </c>
      <c r="P141" s="505">
        <f t="shared" si="27"/>
        <v>0</v>
      </c>
    </row>
    <row r="142" spans="2:16">
      <c r="B142" s="145" t="str">
        <f t="shared" si="11"/>
        <v/>
      </c>
      <c r="C142" s="496">
        <f>IF(D94="","-",+C141+1)</f>
        <v>2060</v>
      </c>
      <c r="D142" s="350">
        <f>IF(F141+SUM(E$100:E141)=D$93,F141,D$93-SUM(E$100:E141))</f>
        <v>0</v>
      </c>
      <c r="E142" s="510">
        <f t="shared" si="18"/>
        <v>0</v>
      </c>
      <c r="F142" s="511">
        <f t="shared" si="19"/>
        <v>0</v>
      </c>
      <c r="G142" s="511">
        <f t="shared" si="20"/>
        <v>0</v>
      </c>
      <c r="H142" s="646">
        <f t="shared" si="21"/>
        <v>0</v>
      </c>
      <c r="I142" s="628">
        <f t="shared" si="22"/>
        <v>0</v>
      </c>
      <c r="J142" s="505">
        <f t="shared" si="24"/>
        <v>0</v>
      </c>
      <c r="K142" s="505"/>
      <c r="L142" s="513"/>
      <c r="M142" s="505">
        <f t="shared" si="25"/>
        <v>0</v>
      </c>
      <c r="N142" s="513"/>
      <c r="O142" s="505">
        <f t="shared" si="26"/>
        <v>0</v>
      </c>
      <c r="P142" s="505">
        <f t="shared" si="27"/>
        <v>0</v>
      </c>
    </row>
    <row r="143" spans="2:16">
      <c r="B143" s="145" t="str">
        <f t="shared" si="11"/>
        <v/>
      </c>
      <c r="C143" s="496">
        <f>IF(D94="","-",+C142+1)</f>
        <v>2061</v>
      </c>
      <c r="D143" s="350">
        <f>IF(F142+SUM(E$100:E142)=D$93,F142,D$93-SUM(E$100:E142))</f>
        <v>0</v>
      </c>
      <c r="E143" s="510">
        <f t="shared" si="18"/>
        <v>0</v>
      </c>
      <c r="F143" s="511">
        <f t="shared" si="19"/>
        <v>0</v>
      </c>
      <c r="G143" s="511">
        <f t="shared" si="20"/>
        <v>0</v>
      </c>
      <c r="H143" s="646">
        <f t="shared" si="21"/>
        <v>0</v>
      </c>
      <c r="I143" s="628">
        <f t="shared" si="22"/>
        <v>0</v>
      </c>
      <c r="J143" s="505">
        <f t="shared" si="24"/>
        <v>0</v>
      </c>
      <c r="K143" s="505"/>
      <c r="L143" s="513"/>
      <c r="M143" s="505">
        <f t="shared" si="25"/>
        <v>0</v>
      </c>
      <c r="N143" s="513"/>
      <c r="O143" s="505">
        <f t="shared" si="26"/>
        <v>0</v>
      </c>
      <c r="P143" s="505">
        <f t="shared" si="27"/>
        <v>0</v>
      </c>
    </row>
    <row r="144" spans="2:16">
      <c r="B144" s="145" t="str">
        <f t="shared" si="11"/>
        <v/>
      </c>
      <c r="C144" s="496">
        <f>IF(D94="","-",+C143+1)</f>
        <v>2062</v>
      </c>
      <c r="D144" s="350">
        <f>IF(F143+SUM(E$100:E143)=D$93,F143,D$93-SUM(E$100:E143))</f>
        <v>0</v>
      </c>
      <c r="E144" s="510">
        <f t="shared" si="18"/>
        <v>0</v>
      </c>
      <c r="F144" s="511">
        <f t="shared" si="19"/>
        <v>0</v>
      </c>
      <c r="G144" s="511">
        <f t="shared" si="20"/>
        <v>0</v>
      </c>
      <c r="H144" s="646">
        <f t="shared" si="21"/>
        <v>0</v>
      </c>
      <c r="I144" s="628">
        <f t="shared" si="22"/>
        <v>0</v>
      </c>
      <c r="J144" s="505">
        <f t="shared" si="24"/>
        <v>0</v>
      </c>
      <c r="K144" s="505"/>
      <c r="L144" s="513"/>
      <c r="M144" s="505">
        <f t="shared" si="25"/>
        <v>0</v>
      </c>
      <c r="N144" s="513"/>
      <c r="O144" s="505">
        <f t="shared" si="26"/>
        <v>0</v>
      </c>
      <c r="P144" s="505">
        <f t="shared" si="27"/>
        <v>0</v>
      </c>
    </row>
    <row r="145" spans="2:16">
      <c r="B145" s="145" t="str">
        <f t="shared" si="11"/>
        <v/>
      </c>
      <c r="C145" s="496">
        <f>IF(D94="","-",+C144+1)</f>
        <v>2063</v>
      </c>
      <c r="D145" s="350">
        <f>IF(F144+SUM(E$100:E144)=D$93,F144,D$93-SUM(E$100:E144))</f>
        <v>0</v>
      </c>
      <c r="E145" s="510">
        <f t="shared" si="18"/>
        <v>0</v>
      </c>
      <c r="F145" s="511">
        <f t="shared" si="19"/>
        <v>0</v>
      </c>
      <c r="G145" s="511">
        <f t="shared" si="20"/>
        <v>0</v>
      </c>
      <c r="H145" s="646">
        <f t="shared" si="21"/>
        <v>0</v>
      </c>
      <c r="I145" s="628">
        <f t="shared" si="22"/>
        <v>0</v>
      </c>
      <c r="J145" s="505">
        <f t="shared" si="24"/>
        <v>0</v>
      </c>
      <c r="K145" s="505"/>
      <c r="L145" s="513"/>
      <c r="M145" s="505">
        <f t="shared" si="25"/>
        <v>0</v>
      </c>
      <c r="N145" s="513"/>
      <c r="O145" s="505">
        <f t="shared" si="26"/>
        <v>0</v>
      </c>
      <c r="P145" s="505">
        <f t="shared" si="27"/>
        <v>0</v>
      </c>
    </row>
    <row r="146" spans="2:16">
      <c r="B146" s="145" t="str">
        <f t="shared" si="11"/>
        <v/>
      </c>
      <c r="C146" s="496">
        <f>IF(D94="","-",+C145+1)</f>
        <v>2064</v>
      </c>
      <c r="D146" s="350">
        <f>IF(F145+SUM(E$100:E145)=D$93,F145,D$93-SUM(E$100:E145))</f>
        <v>0</v>
      </c>
      <c r="E146" s="510">
        <f t="shared" si="18"/>
        <v>0</v>
      </c>
      <c r="F146" s="511">
        <f t="shared" si="19"/>
        <v>0</v>
      </c>
      <c r="G146" s="511">
        <f t="shared" si="20"/>
        <v>0</v>
      </c>
      <c r="H146" s="646">
        <f t="shared" si="21"/>
        <v>0</v>
      </c>
      <c r="I146" s="628">
        <f t="shared" si="22"/>
        <v>0</v>
      </c>
      <c r="J146" s="505">
        <f t="shared" si="24"/>
        <v>0</v>
      </c>
      <c r="K146" s="505"/>
      <c r="L146" s="513"/>
      <c r="M146" s="505">
        <f t="shared" si="25"/>
        <v>0</v>
      </c>
      <c r="N146" s="513"/>
      <c r="O146" s="505">
        <f t="shared" si="26"/>
        <v>0</v>
      </c>
      <c r="P146" s="505">
        <f t="shared" si="27"/>
        <v>0</v>
      </c>
    </row>
    <row r="147" spans="2:16">
      <c r="B147" s="145" t="str">
        <f t="shared" si="11"/>
        <v/>
      </c>
      <c r="C147" s="496">
        <f>IF(D94="","-",+C146+1)</f>
        <v>2065</v>
      </c>
      <c r="D147" s="350">
        <f>IF(F146+SUM(E$100:E146)=D$93,F146,D$93-SUM(E$100:E146))</f>
        <v>0</v>
      </c>
      <c r="E147" s="510">
        <f t="shared" si="18"/>
        <v>0</v>
      </c>
      <c r="F147" s="511">
        <f t="shared" si="19"/>
        <v>0</v>
      </c>
      <c r="G147" s="511">
        <f t="shared" si="20"/>
        <v>0</v>
      </c>
      <c r="H147" s="646">
        <f t="shared" si="21"/>
        <v>0</v>
      </c>
      <c r="I147" s="628">
        <f t="shared" si="22"/>
        <v>0</v>
      </c>
      <c r="J147" s="505">
        <f t="shared" si="24"/>
        <v>0</v>
      </c>
      <c r="K147" s="505"/>
      <c r="L147" s="513"/>
      <c r="M147" s="505">
        <f t="shared" si="25"/>
        <v>0</v>
      </c>
      <c r="N147" s="513"/>
      <c r="O147" s="505">
        <f t="shared" si="26"/>
        <v>0</v>
      </c>
      <c r="P147" s="505">
        <f t="shared" si="27"/>
        <v>0</v>
      </c>
    </row>
    <row r="148" spans="2:16">
      <c r="B148" s="145" t="str">
        <f t="shared" si="11"/>
        <v/>
      </c>
      <c r="C148" s="496">
        <f>IF(D94="","-",+C147+1)</f>
        <v>2066</v>
      </c>
      <c r="D148" s="350">
        <f>IF(F147+SUM(E$100:E147)=D$93,F147,D$93-SUM(E$100:E147))</f>
        <v>0</v>
      </c>
      <c r="E148" s="510">
        <f t="shared" si="18"/>
        <v>0</v>
      </c>
      <c r="F148" s="511">
        <f t="shared" si="19"/>
        <v>0</v>
      </c>
      <c r="G148" s="511">
        <f t="shared" si="20"/>
        <v>0</v>
      </c>
      <c r="H148" s="646">
        <f t="shared" si="21"/>
        <v>0</v>
      </c>
      <c r="I148" s="628">
        <f t="shared" si="22"/>
        <v>0</v>
      </c>
      <c r="J148" s="505">
        <f t="shared" si="24"/>
        <v>0</v>
      </c>
      <c r="K148" s="505"/>
      <c r="L148" s="513"/>
      <c r="M148" s="505">
        <f t="shared" si="25"/>
        <v>0</v>
      </c>
      <c r="N148" s="513"/>
      <c r="O148" s="505">
        <f t="shared" si="26"/>
        <v>0</v>
      </c>
      <c r="P148" s="505">
        <f t="shared" si="27"/>
        <v>0</v>
      </c>
    </row>
    <row r="149" spans="2:16">
      <c r="B149" s="145" t="str">
        <f t="shared" si="11"/>
        <v/>
      </c>
      <c r="C149" s="496">
        <f>IF(D94="","-",+C148+1)</f>
        <v>2067</v>
      </c>
      <c r="D149" s="350">
        <f>IF(F148+SUM(E$100:E148)=D$93,F148,D$93-SUM(E$100:E148))</f>
        <v>0</v>
      </c>
      <c r="E149" s="510">
        <f t="shared" si="18"/>
        <v>0</v>
      </c>
      <c r="F149" s="511">
        <f t="shared" si="19"/>
        <v>0</v>
      </c>
      <c r="G149" s="511">
        <f t="shared" si="20"/>
        <v>0</v>
      </c>
      <c r="H149" s="646">
        <f t="shared" si="21"/>
        <v>0</v>
      </c>
      <c r="I149" s="628">
        <f t="shared" si="22"/>
        <v>0</v>
      </c>
      <c r="J149" s="505">
        <f t="shared" si="24"/>
        <v>0</v>
      </c>
      <c r="K149" s="505"/>
      <c r="L149" s="513"/>
      <c r="M149" s="505">
        <f t="shared" si="25"/>
        <v>0</v>
      </c>
      <c r="N149" s="513"/>
      <c r="O149" s="505">
        <f t="shared" si="26"/>
        <v>0</v>
      </c>
      <c r="P149" s="505">
        <f t="shared" si="27"/>
        <v>0</v>
      </c>
    </row>
    <row r="150" spans="2:16">
      <c r="B150" s="145" t="str">
        <f t="shared" si="11"/>
        <v/>
      </c>
      <c r="C150" s="496">
        <f>IF(D94="","-",+C149+1)</f>
        <v>2068</v>
      </c>
      <c r="D150" s="350">
        <f>IF(F149+SUM(E$100:E149)=D$93,F149,D$93-SUM(E$100:E149))</f>
        <v>0</v>
      </c>
      <c r="E150" s="510">
        <f t="shared" si="18"/>
        <v>0</v>
      </c>
      <c r="F150" s="511">
        <f t="shared" si="19"/>
        <v>0</v>
      </c>
      <c r="G150" s="511">
        <f t="shared" si="20"/>
        <v>0</v>
      </c>
      <c r="H150" s="646">
        <f t="shared" si="21"/>
        <v>0</v>
      </c>
      <c r="I150" s="628">
        <f t="shared" si="22"/>
        <v>0</v>
      </c>
      <c r="J150" s="505">
        <f t="shared" si="24"/>
        <v>0</v>
      </c>
      <c r="K150" s="505"/>
      <c r="L150" s="513"/>
      <c r="M150" s="505">
        <f t="shared" si="25"/>
        <v>0</v>
      </c>
      <c r="N150" s="513"/>
      <c r="O150" s="505">
        <f t="shared" si="26"/>
        <v>0</v>
      </c>
      <c r="P150" s="505">
        <f t="shared" si="27"/>
        <v>0</v>
      </c>
    </row>
    <row r="151" spans="2:16">
      <c r="B151" s="145" t="str">
        <f t="shared" si="11"/>
        <v/>
      </c>
      <c r="C151" s="496">
        <f>IF(D94="","-",+C150+1)</f>
        <v>2069</v>
      </c>
      <c r="D151" s="350">
        <f>IF(F150+SUM(E$100:E150)=D$93,F150,D$93-SUM(E$100:E150))</f>
        <v>0</v>
      </c>
      <c r="E151" s="510">
        <f t="shared" si="18"/>
        <v>0</v>
      </c>
      <c r="F151" s="511">
        <f t="shared" si="19"/>
        <v>0</v>
      </c>
      <c r="G151" s="511">
        <f t="shared" si="20"/>
        <v>0</v>
      </c>
      <c r="H151" s="646">
        <f t="shared" si="21"/>
        <v>0</v>
      </c>
      <c r="I151" s="628">
        <f t="shared" si="22"/>
        <v>0</v>
      </c>
      <c r="J151" s="505">
        <f t="shared" si="24"/>
        <v>0</v>
      </c>
      <c r="K151" s="505"/>
      <c r="L151" s="513"/>
      <c r="M151" s="505">
        <f t="shared" si="25"/>
        <v>0</v>
      </c>
      <c r="N151" s="513"/>
      <c r="O151" s="505">
        <f t="shared" si="26"/>
        <v>0</v>
      </c>
      <c r="P151" s="505">
        <f t="shared" si="27"/>
        <v>0</v>
      </c>
    </row>
    <row r="152" spans="2:16">
      <c r="B152" s="145" t="str">
        <f t="shared" si="11"/>
        <v/>
      </c>
      <c r="C152" s="496">
        <f>IF(D94="","-",+C151+1)</f>
        <v>2070</v>
      </c>
      <c r="D152" s="350">
        <f>IF(F151+SUM(E$100:E151)=D$93,F151,D$93-SUM(E$100:E151))</f>
        <v>0</v>
      </c>
      <c r="E152" s="510">
        <f t="shared" si="18"/>
        <v>0</v>
      </c>
      <c r="F152" s="511">
        <f t="shared" si="19"/>
        <v>0</v>
      </c>
      <c r="G152" s="511">
        <f t="shared" si="20"/>
        <v>0</v>
      </c>
      <c r="H152" s="646">
        <f t="shared" si="21"/>
        <v>0</v>
      </c>
      <c r="I152" s="628">
        <f t="shared" si="22"/>
        <v>0</v>
      </c>
      <c r="J152" s="505">
        <f t="shared" si="24"/>
        <v>0</v>
      </c>
      <c r="K152" s="505"/>
      <c r="L152" s="513"/>
      <c r="M152" s="505">
        <f t="shared" si="25"/>
        <v>0</v>
      </c>
      <c r="N152" s="513"/>
      <c r="O152" s="505">
        <f t="shared" si="26"/>
        <v>0</v>
      </c>
      <c r="P152" s="505">
        <f t="shared" si="27"/>
        <v>0</v>
      </c>
    </row>
    <row r="153" spans="2:16">
      <c r="B153" s="145" t="str">
        <f t="shared" si="11"/>
        <v/>
      </c>
      <c r="C153" s="496">
        <f>IF(D94="","-",+C152+1)</f>
        <v>2071</v>
      </c>
      <c r="D153" s="350">
        <f>IF(F152+SUM(E$100:E152)=D$93,F152,D$93-SUM(E$100:E152))</f>
        <v>0</v>
      </c>
      <c r="E153" s="510">
        <f t="shared" si="18"/>
        <v>0</v>
      </c>
      <c r="F153" s="511">
        <f t="shared" si="19"/>
        <v>0</v>
      </c>
      <c r="G153" s="511">
        <f t="shared" si="20"/>
        <v>0</v>
      </c>
      <c r="H153" s="646">
        <f t="shared" si="21"/>
        <v>0</v>
      </c>
      <c r="I153" s="628">
        <f t="shared" si="22"/>
        <v>0</v>
      </c>
      <c r="J153" s="505">
        <f t="shared" si="24"/>
        <v>0</v>
      </c>
      <c r="K153" s="505"/>
      <c r="L153" s="513"/>
      <c r="M153" s="505">
        <f t="shared" si="25"/>
        <v>0</v>
      </c>
      <c r="N153" s="513"/>
      <c r="O153" s="505">
        <f t="shared" si="26"/>
        <v>0</v>
      </c>
      <c r="P153" s="505">
        <f t="shared" si="27"/>
        <v>0</v>
      </c>
    </row>
    <row r="154" spans="2:16">
      <c r="B154" s="145" t="str">
        <f t="shared" si="11"/>
        <v/>
      </c>
      <c r="C154" s="496">
        <f>IF(D94="","-",+C153+1)</f>
        <v>2072</v>
      </c>
      <c r="D154" s="350">
        <f>IF(F153+SUM(E$100:E153)=D$93,F153,D$93-SUM(E$100:E153))</f>
        <v>0</v>
      </c>
      <c r="E154" s="510">
        <f t="shared" si="18"/>
        <v>0</v>
      </c>
      <c r="F154" s="511">
        <f t="shared" si="19"/>
        <v>0</v>
      </c>
      <c r="G154" s="511">
        <f t="shared" si="20"/>
        <v>0</v>
      </c>
      <c r="H154" s="646">
        <f t="shared" si="21"/>
        <v>0</v>
      </c>
      <c r="I154" s="628">
        <f t="shared" si="22"/>
        <v>0</v>
      </c>
      <c r="J154" s="505">
        <f t="shared" si="24"/>
        <v>0</v>
      </c>
      <c r="K154" s="505"/>
      <c r="L154" s="513"/>
      <c r="M154" s="505">
        <f t="shared" si="25"/>
        <v>0</v>
      </c>
      <c r="N154" s="513"/>
      <c r="O154" s="505">
        <f t="shared" si="26"/>
        <v>0</v>
      </c>
      <c r="P154" s="505">
        <f t="shared" si="27"/>
        <v>0</v>
      </c>
    </row>
    <row r="155" spans="2:16" ht="13.5" thickBot="1">
      <c r="B155" s="145" t="str">
        <f t="shared" si="11"/>
        <v/>
      </c>
      <c r="C155" s="525">
        <f>IF(D94="","-",+C154+1)</f>
        <v>2073</v>
      </c>
      <c r="D155" s="636">
        <f>IF(F154+SUM(E$100:E154)=D$93,F154,D$93-SUM(E$100:E154))</f>
        <v>0</v>
      </c>
      <c r="E155" s="527">
        <f t="shared" si="18"/>
        <v>0</v>
      </c>
      <c r="F155" s="528">
        <f t="shared" si="19"/>
        <v>0</v>
      </c>
      <c r="G155" s="528">
        <f t="shared" si="20"/>
        <v>0</v>
      </c>
      <c r="H155" s="646">
        <f t="shared" si="21"/>
        <v>0</v>
      </c>
      <c r="I155" s="624">
        <f t="shared" si="22"/>
        <v>0</v>
      </c>
      <c r="J155" s="532">
        <f t="shared" si="24"/>
        <v>0</v>
      </c>
      <c r="K155" s="505"/>
      <c r="L155" s="531"/>
      <c r="M155" s="532">
        <f t="shared" si="25"/>
        <v>0</v>
      </c>
      <c r="N155" s="531"/>
      <c r="O155" s="532">
        <f t="shared" si="26"/>
        <v>0</v>
      </c>
      <c r="P155" s="532">
        <f t="shared" si="27"/>
        <v>0</v>
      </c>
    </row>
    <row r="156" spans="2:16">
      <c r="C156" s="350" t="s">
        <v>75</v>
      </c>
      <c r="D156" s="295"/>
      <c r="E156" s="295">
        <f>SUM(E100:E155)</f>
        <v>17093291</v>
      </c>
      <c r="F156" s="295"/>
      <c r="G156" s="295"/>
      <c r="H156" s="295">
        <f>SUM(H100:H155)</f>
        <v>42967599.84476018</v>
      </c>
      <c r="I156" s="295">
        <f>SUM(I100:I155)</f>
        <v>42967599.84476018</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63"/>
  <sheetViews>
    <sheetView zoomScale="85" zoomScaleNormal="85"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19 of 20</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1127928.3671828741</v>
      </c>
      <c r="P5" s="244"/>
    </row>
    <row r="6" spans="1:16" ht="15.75">
      <c r="C6" s="236"/>
      <c r="D6" s="293"/>
      <c r="E6" s="244"/>
      <c r="F6" s="244"/>
      <c r="G6" s="244"/>
      <c r="H6" s="450"/>
      <c r="I6" s="450"/>
      <c r="J6" s="451"/>
      <c r="K6" s="452" t="s">
        <v>243</v>
      </c>
      <c r="L6" s="453"/>
      <c r="M6" s="279"/>
      <c r="N6" s="454">
        <f>VLOOKUP(I10,C17:I73,6)</f>
        <v>1127928.3671828741</v>
      </c>
      <c r="O6" s="244"/>
      <c r="P6" s="244"/>
    </row>
    <row r="7" spans="1:16" ht="13.5" thickBot="1">
      <c r="C7" s="455" t="s">
        <v>46</v>
      </c>
      <c r="D7" s="635" t="s">
        <v>264</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266</v>
      </c>
      <c r="E9" s="466"/>
      <c r="F9" s="466"/>
      <c r="G9" s="466"/>
      <c r="H9" s="466"/>
      <c r="I9" s="467"/>
      <c r="J9" s="468"/>
      <c r="O9" s="469"/>
      <c r="P9" s="279"/>
    </row>
    <row r="10" spans="1:16">
      <c r="C10" s="470" t="s">
        <v>49</v>
      </c>
      <c r="D10" s="471">
        <v>8934664</v>
      </c>
      <c r="E10" s="300" t="s">
        <v>50</v>
      </c>
      <c r="F10" s="469"/>
      <c r="G10" s="409"/>
      <c r="H10" s="409"/>
      <c r="I10" s="472">
        <f>+'OKT.WS.F.BPU.ATRR.Projected'!R100</f>
        <v>2020</v>
      </c>
      <c r="J10" s="468"/>
      <c r="K10" s="295" t="s">
        <v>51</v>
      </c>
      <c r="O10" s="279"/>
      <c r="P10" s="279"/>
    </row>
    <row r="11" spans="1:16">
      <c r="C11" s="473" t="s">
        <v>52</v>
      </c>
      <c r="D11" s="474">
        <v>2018</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5</v>
      </c>
      <c r="E12" s="473" t="s">
        <v>55</v>
      </c>
      <c r="F12" s="409"/>
      <c r="G12" s="221"/>
      <c r="H12" s="221"/>
      <c r="I12" s="477">
        <f>'OKT.WS.F.BPU.ATRR.Projected'!$F$78</f>
        <v>0.1064171487591708</v>
      </c>
      <c r="J12" s="414"/>
      <c r="K12" s="145" t="s">
        <v>56</v>
      </c>
      <c r="O12" s="279"/>
      <c r="P12" s="279"/>
    </row>
    <row r="13" spans="1:16">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5" thickBot="1">
      <c r="C14" s="473" t="s">
        <v>60</v>
      </c>
      <c r="D14" s="474" t="s">
        <v>61</v>
      </c>
      <c r="E14" s="279" t="s">
        <v>62</v>
      </c>
      <c r="F14" s="409"/>
      <c r="G14" s="221"/>
      <c r="H14" s="221"/>
      <c r="I14" s="478">
        <f>IF(D10=0,0,D10/D13)</f>
        <v>262784.23529411765</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2018</v>
      </c>
      <c r="D17" s="615">
        <v>0</v>
      </c>
      <c r="E17" s="614">
        <v>182671.34855253328</v>
      </c>
      <c r="F17" s="615">
        <v>14714328.651447468</v>
      </c>
      <c r="G17" s="614">
        <v>1047072.1407929109</v>
      </c>
      <c r="H17" s="618">
        <v>1047072.1407929109</v>
      </c>
      <c r="I17" s="501">
        <f t="shared" ref="I17:I71" si="1">H17-G17</f>
        <v>0</v>
      </c>
      <c r="J17" s="501"/>
      <c r="K17" s="502">
        <f>+G17</f>
        <v>1047072.1407929109</v>
      </c>
      <c r="L17" s="504">
        <f t="shared" ref="L17:L71" si="2">IF(K17&lt;&gt;0,+G17-K17,0)</f>
        <v>0</v>
      </c>
      <c r="M17" s="502">
        <f>+H17</f>
        <v>1047072.1407929109</v>
      </c>
      <c r="N17" s="504">
        <f t="shared" ref="N17:N71" si="3">IF(M17&lt;&gt;0,+H17-M17,0)</f>
        <v>0</v>
      </c>
      <c r="O17" s="505">
        <f t="shared" ref="O17:O71" si="4">+N17-L17</f>
        <v>0</v>
      </c>
      <c r="P17" s="279"/>
    </row>
    <row r="18" spans="2:16">
      <c r="B18" s="145" t="str">
        <f t="shared" si="0"/>
        <v/>
      </c>
      <c r="C18" s="496">
        <f>IF(D11="","-",+C17+1)</f>
        <v>2019</v>
      </c>
      <c r="D18" s="615">
        <v>14714328.651447468</v>
      </c>
      <c r="E18" s="614">
        <v>365342.69710506656</v>
      </c>
      <c r="F18" s="615">
        <v>14348985.954342401</v>
      </c>
      <c r="G18" s="614">
        <v>2072682.037245793</v>
      </c>
      <c r="H18" s="618">
        <v>2072682.037245793</v>
      </c>
      <c r="I18" s="501">
        <f t="shared" si="1"/>
        <v>0</v>
      </c>
      <c r="J18" s="501"/>
      <c r="K18" s="593">
        <f>+G18</f>
        <v>2072682.037245793</v>
      </c>
      <c r="L18" s="597">
        <f t="shared" ref="L18" si="5">IF(K18&lt;&gt;0,+G18-K18,0)</f>
        <v>0</v>
      </c>
      <c r="M18" s="593">
        <f>+H18</f>
        <v>2072682.037245793</v>
      </c>
      <c r="N18" s="505">
        <f t="shared" si="3"/>
        <v>0</v>
      </c>
      <c r="O18" s="505">
        <f t="shared" si="4"/>
        <v>0</v>
      </c>
      <c r="P18" s="279"/>
    </row>
    <row r="19" spans="2:16">
      <c r="B19" s="145" t="str">
        <f t="shared" si="0"/>
        <v>IU</v>
      </c>
      <c r="C19" s="496">
        <f>IF(D11="","-",+C18+1)</f>
        <v>2020</v>
      </c>
      <c r="D19" s="615">
        <v>8386649.9543424007</v>
      </c>
      <c r="E19" s="614">
        <v>261622.86982027246</v>
      </c>
      <c r="F19" s="615">
        <v>8125027.0845221281</v>
      </c>
      <c r="G19" s="614">
        <v>1127928.3671828741</v>
      </c>
      <c r="H19" s="618">
        <v>1127928.3671828741</v>
      </c>
      <c r="I19" s="501">
        <f t="shared" si="1"/>
        <v>0</v>
      </c>
      <c r="J19" s="501"/>
      <c r="K19" s="593">
        <f>+G19</f>
        <v>1127928.3671828741</v>
      </c>
      <c r="L19" s="597">
        <f t="shared" ref="L19" si="6">IF(K19&lt;&gt;0,+G19-K19,0)</f>
        <v>0</v>
      </c>
      <c r="M19" s="593">
        <f>+H19</f>
        <v>1127928.3671828741</v>
      </c>
      <c r="N19" s="505">
        <f t="shared" si="3"/>
        <v>0</v>
      </c>
      <c r="O19" s="505">
        <f t="shared" si="4"/>
        <v>0</v>
      </c>
      <c r="P19" s="279"/>
    </row>
    <row r="20" spans="2:16">
      <c r="B20" s="145" t="str">
        <f t="shared" si="0"/>
        <v>IU</v>
      </c>
      <c r="C20" s="496">
        <f>IF(D11="","-",+C19+1)</f>
        <v>2021</v>
      </c>
      <c r="D20" s="615">
        <v>8418230.0534149297</v>
      </c>
      <c r="E20" s="614">
        <v>288214.96774193546</v>
      </c>
      <c r="F20" s="615">
        <v>8130015.0856729941</v>
      </c>
      <c r="G20" s="614">
        <v>1183351.4738305765</v>
      </c>
      <c r="H20" s="618">
        <v>1183351.4738305765</v>
      </c>
      <c r="I20" s="501">
        <f t="shared" si="1"/>
        <v>0</v>
      </c>
      <c r="J20" s="501"/>
      <c r="K20" s="593">
        <f>+G20</f>
        <v>1183351.4738305765</v>
      </c>
      <c r="L20" s="597">
        <f t="shared" ref="L20" si="7">IF(K20&lt;&gt;0,+G20-K20,0)</f>
        <v>0</v>
      </c>
      <c r="M20" s="593">
        <f>+H20</f>
        <v>1183351.4738305765</v>
      </c>
      <c r="N20" s="505">
        <f t="shared" ref="N20" si="8">IF(M20&lt;&gt;0,+H20-M20,0)</f>
        <v>0</v>
      </c>
      <c r="O20" s="505">
        <f t="shared" ref="O20" si="9">+N20-L20</f>
        <v>0</v>
      </c>
      <c r="P20" s="279"/>
    </row>
    <row r="21" spans="2:16">
      <c r="B21" s="145" t="str">
        <f t="shared" si="0"/>
        <v>IU</v>
      </c>
      <c r="C21" s="496">
        <f>IF(D11="","-",+C20+1)</f>
        <v>2022</v>
      </c>
      <c r="D21" s="509">
        <f>IF(F20+SUM(E$17:E20)=D$10,F20,D$10-SUM(E$17:E20))</f>
        <v>7836812.1167801926</v>
      </c>
      <c r="E21" s="510">
        <f t="shared" ref="E21:E71" si="10">IF(+I$14&lt;F20,I$14,D21)</f>
        <v>262784.23529411765</v>
      </c>
      <c r="F21" s="511">
        <f t="shared" ref="F21:F71" si="11">+D21-E21</f>
        <v>7574027.881486075</v>
      </c>
      <c r="G21" s="512">
        <f t="shared" ref="G21:G71" si="12">(D21+F21)/2*I$12+E21</f>
        <v>1082773.0615937582</v>
      </c>
      <c r="H21" s="478">
        <f t="shared" ref="H21:H71" si="13">+(D21+F21)/2*I$13+E21</f>
        <v>1082773.0615937582</v>
      </c>
      <c r="I21" s="501">
        <f t="shared" si="1"/>
        <v>0</v>
      </c>
      <c r="J21" s="501"/>
      <c r="K21" s="513"/>
      <c r="L21" s="505">
        <f t="shared" si="2"/>
        <v>0</v>
      </c>
      <c r="M21" s="513"/>
      <c r="N21" s="505">
        <f t="shared" si="3"/>
        <v>0</v>
      </c>
      <c r="O21" s="505">
        <f t="shared" si="4"/>
        <v>0</v>
      </c>
      <c r="P21" s="279"/>
    </row>
    <row r="22" spans="2:16">
      <c r="B22" s="145" t="str">
        <f t="shared" si="0"/>
        <v/>
      </c>
      <c r="C22" s="496">
        <f>IF(D11="","-",+C21+1)</f>
        <v>2023</v>
      </c>
      <c r="D22" s="509">
        <f>IF(F21+SUM(E$17:E21)=D$10,F21,D$10-SUM(E$17:E21))</f>
        <v>7574027.881486075</v>
      </c>
      <c r="E22" s="510">
        <f t="shared" si="10"/>
        <v>262784.23529411765</v>
      </c>
      <c r="F22" s="511">
        <f t="shared" si="11"/>
        <v>7311243.6461919574</v>
      </c>
      <c r="G22" s="512">
        <f t="shared" si="12"/>
        <v>1054808.312534899</v>
      </c>
      <c r="H22" s="478">
        <f t="shared" si="13"/>
        <v>1054808.312534899</v>
      </c>
      <c r="I22" s="501">
        <f t="shared" si="1"/>
        <v>0</v>
      </c>
      <c r="J22" s="501"/>
      <c r="K22" s="513"/>
      <c r="L22" s="505">
        <f t="shared" si="2"/>
        <v>0</v>
      </c>
      <c r="M22" s="513"/>
      <c r="N22" s="505">
        <f t="shared" si="3"/>
        <v>0</v>
      </c>
      <c r="O22" s="505">
        <f t="shared" si="4"/>
        <v>0</v>
      </c>
      <c r="P22" s="279"/>
    </row>
    <row r="23" spans="2:16">
      <c r="B23" s="145" t="str">
        <f t="shared" si="0"/>
        <v/>
      </c>
      <c r="C23" s="496">
        <f>IF(D11="","-",+C22+1)</f>
        <v>2024</v>
      </c>
      <c r="D23" s="509">
        <f>IF(F22+SUM(E$17:E22)=D$10,F22,D$10-SUM(E$17:E22))</f>
        <v>7311243.6461919574</v>
      </c>
      <c r="E23" s="510">
        <f t="shared" si="10"/>
        <v>262784.23529411765</v>
      </c>
      <c r="F23" s="511">
        <f t="shared" si="11"/>
        <v>7048459.4108978398</v>
      </c>
      <c r="G23" s="512">
        <f t="shared" si="12"/>
        <v>1026843.56347604</v>
      </c>
      <c r="H23" s="478">
        <f t="shared" si="13"/>
        <v>1026843.56347604</v>
      </c>
      <c r="I23" s="501">
        <f t="shared" si="1"/>
        <v>0</v>
      </c>
      <c r="J23" s="501"/>
      <c r="K23" s="513"/>
      <c r="L23" s="505">
        <f t="shared" si="2"/>
        <v>0</v>
      </c>
      <c r="M23" s="513"/>
      <c r="N23" s="505">
        <f t="shared" si="3"/>
        <v>0</v>
      </c>
      <c r="O23" s="505">
        <f t="shared" si="4"/>
        <v>0</v>
      </c>
      <c r="P23" s="279"/>
    </row>
    <row r="24" spans="2:16">
      <c r="B24" s="145" t="str">
        <f t="shared" si="0"/>
        <v/>
      </c>
      <c r="C24" s="496">
        <f>IF(D11="","-",+C23+1)</f>
        <v>2025</v>
      </c>
      <c r="D24" s="509">
        <f>IF(F23+SUM(E$17:E23)=D$10,F23,D$10-SUM(E$17:E23))</f>
        <v>7048459.4108978398</v>
      </c>
      <c r="E24" s="510">
        <f t="shared" si="10"/>
        <v>262784.23529411765</v>
      </c>
      <c r="F24" s="511">
        <f t="shared" si="11"/>
        <v>6785675.1756037222</v>
      </c>
      <c r="G24" s="512">
        <f t="shared" si="12"/>
        <v>998878.81441718084</v>
      </c>
      <c r="H24" s="478">
        <f t="shared" si="13"/>
        <v>998878.81441718084</v>
      </c>
      <c r="I24" s="501">
        <f t="shared" si="1"/>
        <v>0</v>
      </c>
      <c r="J24" s="501"/>
      <c r="K24" s="513"/>
      <c r="L24" s="505">
        <f t="shared" si="2"/>
        <v>0</v>
      </c>
      <c r="M24" s="513"/>
      <c r="N24" s="505">
        <f t="shared" si="3"/>
        <v>0</v>
      </c>
      <c r="O24" s="505">
        <f t="shared" si="4"/>
        <v>0</v>
      </c>
      <c r="P24" s="279"/>
    </row>
    <row r="25" spans="2:16">
      <c r="B25" s="145" t="str">
        <f t="shared" si="0"/>
        <v/>
      </c>
      <c r="C25" s="496">
        <f>IF(D11="","-",+C24+1)</f>
        <v>2026</v>
      </c>
      <c r="D25" s="509">
        <f>IF(F24+SUM(E$17:E24)=D$10,F24,D$10-SUM(E$17:E24))</f>
        <v>6785675.1756037222</v>
      </c>
      <c r="E25" s="510">
        <f t="shared" si="10"/>
        <v>262784.23529411765</v>
      </c>
      <c r="F25" s="511">
        <f t="shared" si="11"/>
        <v>6522890.9403096046</v>
      </c>
      <c r="G25" s="512">
        <f t="shared" si="12"/>
        <v>970914.06535832188</v>
      </c>
      <c r="H25" s="478">
        <f t="shared" si="13"/>
        <v>970914.06535832188</v>
      </c>
      <c r="I25" s="501">
        <f t="shared" si="1"/>
        <v>0</v>
      </c>
      <c r="J25" s="501"/>
      <c r="K25" s="513"/>
      <c r="L25" s="505">
        <f t="shared" si="2"/>
        <v>0</v>
      </c>
      <c r="M25" s="513"/>
      <c r="N25" s="505">
        <f t="shared" si="3"/>
        <v>0</v>
      </c>
      <c r="O25" s="505">
        <f t="shared" si="4"/>
        <v>0</v>
      </c>
      <c r="P25" s="279"/>
    </row>
    <row r="26" spans="2:16">
      <c r="B26" s="145" t="str">
        <f t="shared" si="0"/>
        <v/>
      </c>
      <c r="C26" s="496">
        <f>IF(D11="","-",+C25+1)</f>
        <v>2027</v>
      </c>
      <c r="D26" s="509">
        <f>IF(F25+SUM(E$17:E25)=D$10,F25,D$10-SUM(E$17:E25))</f>
        <v>6522890.9403096046</v>
      </c>
      <c r="E26" s="510">
        <f t="shared" si="10"/>
        <v>262784.23529411765</v>
      </c>
      <c r="F26" s="511">
        <f t="shared" si="11"/>
        <v>6260106.705015487</v>
      </c>
      <c r="G26" s="512">
        <f t="shared" si="12"/>
        <v>942949.31629946269</v>
      </c>
      <c r="H26" s="478">
        <f t="shared" si="13"/>
        <v>942949.31629946269</v>
      </c>
      <c r="I26" s="501">
        <f t="shared" si="1"/>
        <v>0</v>
      </c>
      <c r="J26" s="501"/>
      <c r="K26" s="513"/>
      <c r="L26" s="505">
        <f t="shared" si="2"/>
        <v>0</v>
      </c>
      <c r="M26" s="513"/>
      <c r="N26" s="505">
        <f t="shared" si="3"/>
        <v>0</v>
      </c>
      <c r="O26" s="505">
        <f t="shared" si="4"/>
        <v>0</v>
      </c>
      <c r="P26" s="279"/>
    </row>
    <row r="27" spans="2:16">
      <c r="B27" s="145" t="str">
        <f t="shared" si="0"/>
        <v/>
      </c>
      <c r="C27" s="496">
        <f>IF(D11="","-",+C26+1)</f>
        <v>2028</v>
      </c>
      <c r="D27" s="509">
        <f>IF(F26+SUM(E$17:E26)=D$10,F26,D$10-SUM(E$17:E26))</f>
        <v>6260106.705015487</v>
      </c>
      <c r="E27" s="510">
        <f t="shared" si="10"/>
        <v>262784.23529411765</v>
      </c>
      <c r="F27" s="511">
        <f t="shared" si="11"/>
        <v>5997322.4697213694</v>
      </c>
      <c r="G27" s="512">
        <f t="shared" si="12"/>
        <v>914984.56724060373</v>
      </c>
      <c r="H27" s="478">
        <f t="shared" si="13"/>
        <v>914984.56724060373</v>
      </c>
      <c r="I27" s="501">
        <f t="shared" si="1"/>
        <v>0</v>
      </c>
      <c r="J27" s="501"/>
      <c r="K27" s="513"/>
      <c r="L27" s="505">
        <f t="shared" si="2"/>
        <v>0</v>
      </c>
      <c r="M27" s="513"/>
      <c r="N27" s="505">
        <f t="shared" si="3"/>
        <v>0</v>
      </c>
      <c r="O27" s="505">
        <f t="shared" si="4"/>
        <v>0</v>
      </c>
      <c r="P27" s="279"/>
    </row>
    <row r="28" spans="2:16">
      <c r="B28" s="145" t="str">
        <f t="shared" si="0"/>
        <v/>
      </c>
      <c r="C28" s="496">
        <f>IF(D11="","-",+C27+1)</f>
        <v>2029</v>
      </c>
      <c r="D28" s="509">
        <f>IF(F27+SUM(E$17:E27)=D$10,F27,D$10-SUM(E$17:E27))</f>
        <v>5997322.4697213694</v>
      </c>
      <c r="E28" s="510">
        <f t="shared" si="10"/>
        <v>262784.23529411765</v>
      </c>
      <c r="F28" s="511">
        <f t="shared" si="11"/>
        <v>5734538.2344272519</v>
      </c>
      <c r="G28" s="512">
        <f t="shared" si="12"/>
        <v>887019.81818174454</v>
      </c>
      <c r="H28" s="478">
        <f t="shared" si="13"/>
        <v>887019.81818174454</v>
      </c>
      <c r="I28" s="501">
        <f t="shared" si="1"/>
        <v>0</v>
      </c>
      <c r="J28" s="501"/>
      <c r="K28" s="513"/>
      <c r="L28" s="505">
        <f t="shared" si="2"/>
        <v>0</v>
      </c>
      <c r="M28" s="513"/>
      <c r="N28" s="505">
        <f t="shared" si="3"/>
        <v>0</v>
      </c>
      <c r="O28" s="505">
        <f t="shared" si="4"/>
        <v>0</v>
      </c>
      <c r="P28" s="279"/>
    </row>
    <row r="29" spans="2:16">
      <c r="B29" s="145" t="str">
        <f t="shared" si="0"/>
        <v/>
      </c>
      <c r="C29" s="496">
        <f>IF(D11="","-",+C28+1)</f>
        <v>2030</v>
      </c>
      <c r="D29" s="509">
        <f>IF(F28+SUM(E$17:E28)=D$10,F28,D$10-SUM(E$17:E28))</f>
        <v>5734538.2344272519</v>
      </c>
      <c r="E29" s="510">
        <f t="shared" si="10"/>
        <v>262784.23529411765</v>
      </c>
      <c r="F29" s="511">
        <f t="shared" si="11"/>
        <v>5471753.9991331343</v>
      </c>
      <c r="G29" s="512">
        <f t="shared" si="12"/>
        <v>859055.06912288559</v>
      </c>
      <c r="H29" s="478">
        <f t="shared" si="13"/>
        <v>859055.06912288559</v>
      </c>
      <c r="I29" s="501">
        <f t="shared" si="1"/>
        <v>0</v>
      </c>
      <c r="J29" s="501"/>
      <c r="K29" s="513"/>
      <c r="L29" s="505">
        <f t="shared" si="2"/>
        <v>0</v>
      </c>
      <c r="M29" s="513"/>
      <c r="N29" s="505">
        <f t="shared" si="3"/>
        <v>0</v>
      </c>
      <c r="O29" s="505">
        <f t="shared" si="4"/>
        <v>0</v>
      </c>
      <c r="P29" s="279"/>
    </row>
    <row r="30" spans="2:16">
      <c r="B30" s="145" t="str">
        <f t="shared" si="0"/>
        <v/>
      </c>
      <c r="C30" s="496">
        <f>IF(D11="","-",+C29+1)</f>
        <v>2031</v>
      </c>
      <c r="D30" s="509">
        <f>IF(F29+SUM(E$17:E29)=D$10,F29,D$10-SUM(E$17:E29))</f>
        <v>5471753.9991331343</v>
      </c>
      <c r="E30" s="510">
        <f t="shared" si="10"/>
        <v>262784.23529411765</v>
      </c>
      <c r="F30" s="511">
        <f t="shared" si="11"/>
        <v>5208969.7638390167</v>
      </c>
      <c r="G30" s="512">
        <f t="shared" si="12"/>
        <v>831090.32006402663</v>
      </c>
      <c r="H30" s="478">
        <f t="shared" si="13"/>
        <v>831090.32006402663</v>
      </c>
      <c r="I30" s="501">
        <f t="shared" si="1"/>
        <v>0</v>
      </c>
      <c r="J30" s="501"/>
      <c r="K30" s="513"/>
      <c r="L30" s="505">
        <f t="shared" si="2"/>
        <v>0</v>
      </c>
      <c r="M30" s="513"/>
      <c r="N30" s="505">
        <f t="shared" si="3"/>
        <v>0</v>
      </c>
      <c r="O30" s="505">
        <f t="shared" si="4"/>
        <v>0</v>
      </c>
      <c r="P30" s="279"/>
    </row>
    <row r="31" spans="2:16">
      <c r="B31" s="145" t="str">
        <f t="shared" si="0"/>
        <v/>
      </c>
      <c r="C31" s="496">
        <f>IF(D11="","-",+C30+1)</f>
        <v>2032</v>
      </c>
      <c r="D31" s="509">
        <f>IF(F30+SUM(E$17:E30)=D$10,F30,D$10-SUM(E$17:E30))</f>
        <v>5208969.7638390167</v>
      </c>
      <c r="E31" s="510">
        <f t="shared" si="10"/>
        <v>262784.23529411765</v>
      </c>
      <c r="F31" s="511">
        <f t="shared" si="11"/>
        <v>4946185.5285448991</v>
      </c>
      <c r="G31" s="512">
        <f t="shared" si="12"/>
        <v>803125.57100516767</v>
      </c>
      <c r="H31" s="478">
        <f t="shared" si="13"/>
        <v>803125.57100516767</v>
      </c>
      <c r="I31" s="501">
        <f t="shared" si="1"/>
        <v>0</v>
      </c>
      <c r="J31" s="501"/>
      <c r="K31" s="513"/>
      <c r="L31" s="505">
        <f t="shared" si="2"/>
        <v>0</v>
      </c>
      <c r="M31" s="513"/>
      <c r="N31" s="505">
        <f t="shared" si="3"/>
        <v>0</v>
      </c>
      <c r="O31" s="505">
        <f t="shared" si="4"/>
        <v>0</v>
      </c>
      <c r="P31" s="279"/>
    </row>
    <row r="32" spans="2:16">
      <c r="B32" s="145" t="str">
        <f t="shared" si="0"/>
        <v/>
      </c>
      <c r="C32" s="496">
        <f>IF(D11="","-",+C31+1)</f>
        <v>2033</v>
      </c>
      <c r="D32" s="509">
        <f>IF(F31+SUM(E$17:E31)=D$10,F31,D$10-SUM(E$17:E31))</f>
        <v>4946185.5285448991</v>
      </c>
      <c r="E32" s="510">
        <f t="shared" si="10"/>
        <v>262784.23529411765</v>
      </c>
      <c r="F32" s="511">
        <f t="shared" si="11"/>
        <v>4683401.2932507815</v>
      </c>
      <c r="G32" s="512">
        <f t="shared" si="12"/>
        <v>775160.82194630848</v>
      </c>
      <c r="H32" s="478">
        <f t="shared" si="13"/>
        <v>775160.82194630848</v>
      </c>
      <c r="I32" s="501">
        <f t="shared" si="1"/>
        <v>0</v>
      </c>
      <c r="J32" s="501"/>
      <c r="K32" s="513"/>
      <c r="L32" s="505">
        <f t="shared" si="2"/>
        <v>0</v>
      </c>
      <c r="M32" s="513"/>
      <c r="N32" s="505">
        <f t="shared" si="3"/>
        <v>0</v>
      </c>
      <c r="O32" s="505">
        <f t="shared" si="4"/>
        <v>0</v>
      </c>
      <c r="P32" s="279"/>
    </row>
    <row r="33" spans="2:16">
      <c r="B33" s="145" t="str">
        <f t="shared" si="0"/>
        <v/>
      </c>
      <c r="C33" s="496">
        <f>IF(D11="","-",+C32+1)</f>
        <v>2034</v>
      </c>
      <c r="D33" s="509">
        <f>IF(F32+SUM(E$17:E32)=D$10,F32,D$10-SUM(E$17:E32))</f>
        <v>4683401.2932507815</v>
      </c>
      <c r="E33" s="510">
        <f t="shared" si="10"/>
        <v>262784.23529411765</v>
      </c>
      <c r="F33" s="511">
        <f t="shared" si="11"/>
        <v>4420617.0579566639</v>
      </c>
      <c r="G33" s="512">
        <f t="shared" si="12"/>
        <v>747196.07288744953</v>
      </c>
      <c r="H33" s="478">
        <f t="shared" si="13"/>
        <v>747196.07288744953</v>
      </c>
      <c r="I33" s="501">
        <f t="shared" si="1"/>
        <v>0</v>
      </c>
      <c r="J33" s="501"/>
      <c r="K33" s="513"/>
      <c r="L33" s="505">
        <f t="shared" si="2"/>
        <v>0</v>
      </c>
      <c r="M33" s="513"/>
      <c r="N33" s="505">
        <f t="shared" si="3"/>
        <v>0</v>
      </c>
      <c r="O33" s="505">
        <f t="shared" si="4"/>
        <v>0</v>
      </c>
      <c r="P33" s="279"/>
    </row>
    <row r="34" spans="2:16">
      <c r="B34" s="145" t="str">
        <f t="shared" si="0"/>
        <v/>
      </c>
      <c r="C34" s="496">
        <f>IF(D11="","-",+C33+1)</f>
        <v>2035</v>
      </c>
      <c r="D34" s="509">
        <f>IF(F33+SUM(E$17:E33)=D$10,F33,D$10-SUM(E$17:E33))</f>
        <v>4420617.0579566639</v>
      </c>
      <c r="E34" s="510">
        <f t="shared" si="10"/>
        <v>262784.23529411765</v>
      </c>
      <c r="F34" s="511">
        <f t="shared" si="11"/>
        <v>4157832.8226625463</v>
      </c>
      <c r="G34" s="512">
        <f t="shared" si="12"/>
        <v>719231.32382859034</v>
      </c>
      <c r="H34" s="478">
        <f t="shared" si="13"/>
        <v>719231.32382859034</v>
      </c>
      <c r="I34" s="501">
        <f t="shared" si="1"/>
        <v>0</v>
      </c>
      <c r="J34" s="501"/>
      <c r="K34" s="513"/>
      <c r="L34" s="505">
        <f t="shared" si="2"/>
        <v>0</v>
      </c>
      <c r="M34" s="513"/>
      <c r="N34" s="505">
        <f t="shared" si="3"/>
        <v>0</v>
      </c>
      <c r="O34" s="505">
        <f t="shared" si="4"/>
        <v>0</v>
      </c>
      <c r="P34" s="279"/>
    </row>
    <row r="35" spans="2:16">
      <c r="B35" s="145" t="str">
        <f t="shared" si="0"/>
        <v/>
      </c>
      <c r="C35" s="496">
        <f>IF(D11="","-",+C34+1)</f>
        <v>2036</v>
      </c>
      <c r="D35" s="509">
        <f>IF(F34+SUM(E$17:E34)=D$10,F34,D$10-SUM(E$17:E34))</f>
        <v>4157832.8226625463</v>
      </c>
      <c r="E35" s="510">
        <f t="shared" si="10"/>
        <v>262784.23529411765</v>
      </c>
      <c r="F35" s="511">
        <f t="shared" si="11"/>
        <v>3895048.5873684287</v>
      </c>
      <c r="G35" s="512">
        <f t="shared" si="12"/>
        <v>691266.57476973138</v>
      </c>
      <c r="H35" s="478">
        <f t="shared" si="13"/>
        <v>691266.57476973138</v>
      </c>
      <c r="I35" s="501">
        <f t="shared" si="1"/>
        <v>0</v>
      </c>
      <c r="J35" s="501"/>
      <c r="K35" s="513"/>
      <c r="L35" s="505">
        <f t="shared" si="2"/>
        <v>0</v>
      </c>
      <c r="M35" s="513"/>
      <c r="N35" s="505">
        <f t="shared" si="3"/>
        <v>0</v>
      </c>
      <c r="O35" s="505">
        <f t="shared" si="4"/>
        <v>0</v>
      </c>
      <c r="P35" s="279"/>
    </row>
    <row r="36" spans="2:16">
      <c r="B36" s="145" t="str">
        <f t="shared" si="0"/>
        <v/>
      </c>
      <c r="C36" s="496">
        <f>IF(D11="","-",+C35+1)</f>
        <v>2037</v>
      </c>
      <c r="D36" s="509">
        <f>IF(F35+SUM(E$17:E35)=D$10,F35,D$10-SUM(E$17:E35))</f>
        <v>3895048.5873684287</v>
      </c>
      <c r="E36" s="510">
        <f t="shared" si="10"/>
        <v>262784.23529411765</v>
      </c>
      <c r="F36" s="511">
        <f t="shared" si="11"/>
        <v>3632264.3520743111</v>
      </c>
      <c r="G36" s="512">
        <f t="shared" si="12"/>
        <v>663301.8257108723</v>
      </c>
      <c r="H36" s="478">
        <f t="shared" si="13"/>
        <v>663301.8257108723</v>
      </c>
      <c r="I36" s="501">
        <f t="shared" si="1"/>
        <v>0</v>
      </c>
      <c r="J36" s="501"/>
      <c r="K36" s="513"/>
      <c r="L36" s="505">
        <f t="shared" si="2"/>
        <v>0</v>
      </c>
      <c r="M36" s="513"/>
      <c r="N36" s="505">
        <f t="shared" si="3"/>
        <v>0</v>
      </c>
      <c r="O36" s="505">
        <f t="shared" si="4"/>
        <v>0</v>
      </c>
      <c r="P36" s="279"/>
    </row>
    <row r="37" spans="2:16">
      <c r="B37" s="145" t="str">
        <f t="shared" si="0"/>
        <v/>
      </c>
      <c r="C37" s="496">
        <f>IF(D11="","-",+C36+1)</f>
        <v>2038</v>
      </c>
      <c r="D37" s="509">
        <f>IF(F36+SUM(E$17:E36)=D$10,F36,D$10-SUM(E$17:E36))</f>
        <v>3632264.3520743111</v>
      </c>
      <c r="E37" s="510">
        <f t="shared" si="10"/>
        <v>262784.23529411765</v>
      </c>
      <c r="F37" s="511">
        <f t="shared" si="11"/>
        <v>3369480.1167801935</v>
      </c>
      <c r="G37" s="512">
        <f t="shared" si="12"/>
        <v>635337.07665201323</v>
      </c>
      <c r="H37" s="478">
        <f t="shared" si="13"/>
        <v>635337.07665201323</v>
      </c>
      <c r="I37" s="501">
        <f t="shared" si="1"/>
        <v>0</v>
      </c>
      <c r="J37" s="501"/>
      <c r="K37" s="513"/>
      <c r="L37" s="505">
        <f t="shared" si="2"/>
        <v>0</v>
      </c>
      <c r="M37" s="513"/>
      <c r="N37" s="505">
        <f t="shared" si="3"/>
        <v>0</v>
      </c>
      <c r="O37" s="505">
        <f t="shared" si="4"/>
        <v>0</v>
      </c>
      <c r="P37" s="279"/>
    </row>
    <row r="38" spans="2:16">
      <c r="B38" s="145" t="str">
        <f t="shared" si="0"/>
        <v/>
      </c>
      <c r="C38" s="496">
        <f>IF(D11="","-",+C37+1)</f>
        <v>2039</v>
      </c>
      <c r="D38" s="509">
        <f>IF(F37+SUM(E$17:E37)=D$10,F37,D$10-SUM(E$17:E37))</f>
        <v>3369480.1167801935</v>
      </c>
      <c r="E38" s="510">
        <f t="shared" si="10"/>
        <v>262784.23529411765</v>
      </c>
      <c r="F38" s="511">
        <f t="shared" si="11"/>
        <v>3106695.8814860759</v>
      </c>
      <c r="G38" s="512">
        <f t="shared" si="12"/>
        <v>607372.32759315416</v>
      </c>
      <c r="H38" s="478">
        <f t="shared" si="13"/>
        <v>607372.32759315416</v>
      </c>
      <c r="I38" s="501">
        <f t="shared" si="1"/>
        <v>0</v>
      </c>
      <c r="J38" s="501"/>
      <c r="K38" s="513"/>
      <c r="L38" s="505">
        <f t="shared" si="2"/>
        <v>0</v>
      </c>
      <c r="M38" s="513"/>
      <c r="N38" s="505">
        <f t="shared" si="3"/>
        <v>0</v>
      </c>
      <c r="O38" s="505">
        <f t="shared" si="4"/>
        <v>0</v>
      </c>
      <c r="P38" s="279"/>
    </row>
    <row r="39" spans="2:16">
      <c r="B39" s="145" t="str">
        <f t="shared" si="0"/>
        <v/>
      </c>
      <c r="C39" s="496">
        <f>IF(D11="","-",+C38+1)</f>
        <v>2040</v>
      </c>
      <c r="D39" s="509">
        <f>IF(F38+SUM(E$17:E38)=D$10,F38,D$10-SUM(E$17:E38))</f>
        <v>3106695.8814860759</v>
      </c>
      <c r="E39" s="510">
        <f t="shared" si="10"/>
        <v>262784.23529411765</v>
      </c>
      <c r="F39" s="511">
        <f t="shared" si="11"/>
        <v>2843911.6461919583</v>
      </c>
      <c r="G39" s="512">
        <f t="shared" si="12"/>
        <v>579407.57853429508</v>
      </c>
      <c r="H39" s="478">
        <f t="shared" si="13"/>
        <v>579407.57853429508</v>
      </c>
      <c r="I39" s="501">
        <f t="shared" si="1"/>
        <v>0</v>
      </c>
      <c r="J39" s="501"/>
      <c r="K39" s="513"/>
      <c r="L39" s="505">
        <f t="shared" si="2"/>
        <v>0</v>
      </c>
      <c r="M39" s="513"/>
      <c r="N39" s="505">
        <f t="shared" si="3"/>
        <v>0</v>
      </c>
      <c r="O39" s="505">
        <f t="shared" si="4"/>
        <v>0</v>
      </c>
      <c r="P39" s="279"/>
    </row>
    <row r="40" spans="2:16">
      <c r="B40" s="145" t="str">
        <f t="shared" si="0"/>
        <v/>
      </c>
      <c r="C40" s="496">
        <f>IF(D11="","-",+C39+1)</f>
        <v>2041</v>
      </c>
      <c r="D40" s="509">
        <f>IF(F39+SUM(E$17:E39)=D$10,F39,D$10-SUM(E$17:E39))</f>
        <v>2843911.6461919583</v>
      </c>
      <c r="E40" s="510">
        <f t="shared" si="10"/>
        <v>262784.23529411765</v>
      </c>
      <c r="F40" s="511">
        <f t="shared" si="11"/>
        <v>2581127.4108978407</v>
      </c>
      <c r="G40" s="512">
        <f t="shared" si="12"/>
        <v>551442.82947543613</v>
      </c>
      <c r="H40" s="478">
        <f t="shared" si="13"/>
        <v>551442.82947543613</v>
      </c>
      <c r="I40" s="501">
        <f t="shared" si="1"/>
        <v>0</v>
      </c>
      <c r="J40" s="501"/>
      <c r="K40" s="513"/>
      <c r="L40" s="505">
        <f t="shared" si="2"/>
        <v>0</v>
      </c>
      <c r="M40" s="513"/>
      <c r="N40" s="505">
        <f t="shared" si="3"/>
        <v>0</v>
      </c>
      <c r="O40" s="505">
        <f t="shared" si="4"/>
        <v>0</v>
      </c>
      <c r="P40" s="279"/>
    </row>
    <row r="41" spans="2:16">
      <c r="B41" s="145" t="str">
        <f t="shared" si="0"/>
        <v/>
      </c>
      <c r="C41" s="496">
        <f>IF(D11="","-",+C40+1)</f>
        <v>2042</v>
      </c>
      <c r="D41" s="509">
        <f>IF(F40+SUM(E$17:E40)=D$10,F40,D$10-SUM(E$17:E40))</f>
        <v>2581127.4108978407</v>
      </c>
      <c r="E41" s="510">
        <f t="shared" si="10"/>
        <v>262784.23529411765</v>
      </c>
      <c r="F41" s="511">
        <f t="shared" si="11"/>
        <v>2318343.1756037232</v>
      </c>
      <c r="G41" s="512">
        <f t="shared" si="12"/>
        <v>523478.08041657705</v>
      </c>
      <c r="H41" s="478">
        <f t="shared" si="13"/>
        <v>523478.08041657705</v>
      </c>
      <c r="I41" s="501">
        <f t="shared" si="1"/>
        <v>0</v>
      </c>
      <c r="J41" s="501"/>
      <c r="K41" s="513"/>
      <c r="L41" s="505">
        <f t="shared" si="2"/>
        <v>0</v>
      </c>
      <c r="M41" s="513"/>
      <c r="N41" s="505">
        <f t="shared" si="3"/>
        <v>0</v>
      </c>
      <c r="O41" s="505">
        <f t="shared" si="4"/>
        <v>0</v>
      </c>
      <c r="P41" s="279"/>
    </row>
    <row r="42" spans="2:16">
      <c r="B42" s="145" t="str">
        <f t="shared" si="0"/>
        <v/>
      </c>
      <c r="C42" s="496">
        <f>IF(D11="","-",+C41+1)</f>
        <v>2043</v>
      </c>
      <c r="D42" s="509">
        <f>IF(F41+SUM(E$17:E41)=D$10,F41,D$10-SUM(E$17:E41))</f>
        <v>2318343.1756037232</v>
      </c>
      <c r="E42" s="510">
        <f t="shared" si="10"/>
        <v>262784.23529411765</v>
      </c>
      <c r="F42" s="511">
        <f t="shared" si="11"/>
        <v>2055558.9403096056</v>
      </c>
      <c r="G42" s="512">
        <f t="shared" si="12"/>
        <v>495513.33135771798</v>
      </c>
      <c r="H42" s="478">
        <f t="shared" si="13"/>
        <v>495513.33135771798</v>
      </c>
      <c r="I42" s="501">
        <f t="shared" si="1"/>
        <v>0</v>
      </c>
      <c r="J42" s="501"/>
      <c r="K42" s="513"/>
      <c r="L42" s="505">
        <f t="shared" si="2"/>
        <v>0</v>
      </c>
      <c r="M42" s="513"/>
      <c r="N42" s="505">
        <f t="shared" si="3"/>
        <v>0</v>
      </c>
      <c r="O42" s="505">
        <f t="shared" si="4"/>
        <v>0</v>
      </c>
      <c r="P42" s="279"/>
    </row>
    <row r="43" spans="2:16">
      <c r="B43" s="145" t="str">
        <f t="shared" si="0"/>
        <v/>
      </c>
      <c r="C43" s="496">
        <f>IF(D11="","-",+C42+1)</f>
        <v>2044</v>
      </c>
      <c r="D43" s="509">
        <f>IF(F42+SUM(E$17:E42)=D$10,F42,D$10-SUM(E$17:E42))</f>
        <v>2055558.9403096056</v>
      </c>
      <c r="E43" s="510">
        <f t="shared" si="10"/>
        <v>262784.23529411765</v>
      </c>
      <c r="F43" s="511">
        <f t="shared" si="11"/>
        <v>1792774.705015488</v>
      </c>
      <c r="G43" s="512">
        <f t="shared" si="12"/>
        <v>467548.58229885891</v>
      </c>
      <c r="H43" s="478">
        <f t="shared" si="13"/>
        <v>467548.58229885891</v>
      </c>
      <c r="I43" s="501">
        <f t="shared" si="1"/>
        <v>0</v>
      </c>
      <c r="J43" s="501"/>
      <c r="K43" s="513"/>
      <c r="L43" s="505">
        <f t="shared" si="2"/>
        <v>0</v>
      </c>
      <c r="M43" s="513"/>
      <c r="N43" s="505">
        <f t="shared" si="3"/>
        <v>0</v>
      </c>
      <c r="O43" s="505">
        <f t="shared" si="4"/>
        <v>0</v>
      </c>
      <c r="P43" s="279"/>
    </row>
    <row r="44" spans="2:16">
      <c r="B44" s="145" t="str">
        <f t="shared" si="0"/>
        <v/>
      </c>
      <c r="C44" s="496">
        <f>IF(D11="","-",+C43+1)</f>
        <v>2045</v>
      </c>
      <c r="D44" s="509">
        <f>IF(F43+SUM(E$17:E43)=D$10,F43,D$10-SUM(E$17:E43))</f>
        <v>1792774.705015488</v>
      </c>
      <c r="E44" s="510">
        <f t="shared" si="10"/>
        <v>262784.23529411765</v>
      </c>
      <c r="F44" s="511">
        <f t="shared" si="11"/>
        <v>1529990.4697213704</v>
      </c>
      <c r="G44" s="512">
        <f t="shared" si="12"/>
        <v>439583.83323999983</v>
      </c>
      <c r="H44" s="478">
        <f t="shared" si="13"/>
        <v>439583.83323999983</v>
      </c>
      <c r="I44" s="501">
        <f t="shared" si="1"/>
        <v>0</v>
      </c>
      <c r="J44" s="501"/>
      <c r="K44" s="513"/>
      <c r="L44" s="505">
        <f t="shared" si="2"/>
        <v>0</v>
      </c>
      <c r="M44" s="513"/>
      <c r="N44" s="505">
        <f t="shared" si="3"/>
        <v>0</v>
      </c>
      <c r="O44" s="505">
        <f t="shared" si="4"/>
        <v>0</v>
      </c>
      <c r="P44" s="279"/>
    </row>
    <row r="45" spans="2:16">
      <c r="B45" s="145" t="str">
        <f t="shared" si="0"/>
        <v/>
      </c>
      <c r="C45" s="496">
        <f>IF(D11="","-",+C44+1)</f>
        <v>2046</v>
      </c>
      <c r="D45" s="509">
        <f>IF(F44+SUM(E$17:E44)=D$10,F44,D$10-SUM(E$17:E44))</f>
        <v>1529990.4697213704</v>
      </c>
      <c r="E45" s="510">
        <f t="shared" si="10"/>
        <v>262784.23529411765</v>
      </c>
      <c r="F45" s="511">
        <f t="shared" si="11"/>
        <v>1267206.2344272528</v>
      </c>
      <c r="G45" s="512">
        <f t="shared" si="12"/>
        <v>411619.08418114076</v>
      </c>
      <c r="H45" s="478">
        <f t="shared" si="13"/>
        <v>411619.08418114076</v>
      </c>
      <c r="I45" s="501">
        <f t="shared" si="1"/>
        <v>0</v>
      </c>
      <c r="J45" s="501"/>
      <c r="K45" s="513"/>
      <c r="L45" s="505">
        <f t="shared" si="2"/>
        <v>0</v>
      </c>
      <c r="M45" s="513"/>
      <c r="N45" s="505">
        <f t="shared" si="3"/>
        <v>0</v>
      </c>
      <c r="O45" s="505">
        <f t="shared" si="4"/>
        <v>0</v>
      </c>
      <c r="P45" s="279"/>
    </row>
    <row r="46" spans="2:16">
      <c r="B46" s="145" t="str">
        <f t="shared" si="0"/>
        <v/>
      </c>
      <c r="C46" s="496">
        <f>IF(D11="","-",+C45+1)</f>
        <v>2047</v>
      </c>
      <c r="D46" s="509">
        <f>IF(F45+SUM(E$17:E45)=D$10,F45,D$10-SUM(E$17:E45))</f>
        <v>1267206.2344272528</v>
      </c>
      <c r="E46" s="510">
        <f t="shared" si="10"/>
        <v>262784.23529411765</v>
      </c>
      <c r="F46" s="511">
        <f t="shared" si="11"/>
        <v>1004421.9991331352</v>
      </c>
      <c r="G46" s="512">
        <f t="shared" si="12"/>
        <v>383654.33512228174</v>
      </c>
      <c r="H46" s="478">
        <f t="shared" si="13"/>
        <v>383654.33512228174</v>
      </c>
      <c r="I46" s="501">
        <f t="shared" si="1"/>
        <v>0</v>
      </c>
      <c r="J46" s="501"/>
      <c r="K46" s="513"/>
      <c r="L46" s="505">
        <f t="shared" si="2"/>
        <v>0</v>
      </c>
      <c r="M46" s="513"/>
      <c r="N46" s="505">
        <f t="shared" si="3"/>
        <v>0</v>
      </c>
      <c r="O46" s="505">
        <f t="shared" si="4"/>
        <v>0</v>
      </c>
      <c r="P46" s="279"/>
    </row>
    <row r="47" spans="2:16">
      <c r="B47" s="145" t="str">
        <f t="shared" si="0"/>
        <v/>
      </c>
      <c r="C47" s="496">
        <f>IF(D11="","-",+C46+1)</f>
        <v>2048</v>
      </c>
      <c r="D47" s="509">
        <f>IF(F46+SUM(E$17:E46)=D$10,F46,D$10-SUM(E$17:E46))</f>
        <v>1004421.9991331352</v>
      </c>
      <c r="E47" s="510">
        <f t="shared" si="10"/>
        <v>262784.23529411765</v>
      </c>
      <c r="F47" s="511">
        <f t="shared" si="11"/>
        <v>741637.7638390176</v>
      </c>
      <c r="G47" s="512">
        <f t="shared" si="12"/>
        <v>355689.58606342273</v>
      </c>
      <c r="H47" s="478">
        <f t="shared" si="13"/>
        <v>355689.58606342273</v>
      </c>
      <c r="I47" s="501">
        <f t="shared" si="1"/>
        <v>0</v>
      </c>
      <c r="J47" s="501"/>
      <c r="K47" s="513"/>
      <c r="L47" s="505">
        <f t="shared" si="2"/>
        <v>0</v>
      </c>
      <c r="M47" s="513"/>
      <c r="N47" s="505">
        <f t="shared" si="3"/>
        <v>0</v>
      </c>
      <c r="O47" s="505">
        <f t="shared" si="4"/>
        <v>0</v>
      </c>
      <c r="P47" s="279"/>
    </row>
    <row r="48" spans="2:16">
      <c r="B48" s="145" t="str">
        <f t="shared" si="0"/>
        <v/>
      </c>
      <c r="C48" s="496">
        <f>IF(D11="","-",+C47+1)</f>
        <v>2049</v>
      </c>
      <c r="D48" s="509">
        <f>IF(F47+SUM(E$17:E47)=D$10,F47,D$10-SUM(E$17:E47))</f>
        <v>741637.7638390176</v>
      </c>
      <c r="E48" s="510">
        <f t="shared" si="10"/>
        <v>262784.23529411765</v>
      </c>
      <c r="F48" s="511">
        <f t="shared" si="11"/>
        <v>478853.52854489995</v>
      </c>
      <c r="G48" s="512">
        <f t="shared" si="12"/>
        <v>327724.83700456365</v>
      </c>
      <c r="H48" s="478">
        <f t="shared" si="13"/>
        <v>327724.83700456365</v>
      </c>
      <c r="I48" s="501">
        <f t="shared" si="1"/>
        <v>0</v>
      </c>
      <c r="J48" s="501"/>
      <c r="K48" s="513"/>
      <c r="L48" s="505">
        <f t="shared" si="2"/>
        <v>0</v>
      </c>
      <c r="M48" s="513"/>
      <c r="N48" s="505">
        <f t="shared" si="3"/>
        <v>0</v>
      </c>
      <c r="O48" s="505">
        <f t="shared" si="4"/>
        <v>0</v>
      </c>
      <c r="P48" s="279"/>
    </row>
    <row r="49" spans="2:16">
      <c r="B49" s="145" t="str">
        <f t="shared" si="0"/>
        <v/>
      </c>
      <c r="C49" s="496">
        <f>IF(D11="","-",+C48+1)</f>
        <v>2050</v>
      </c>
      <c r="D49" s="509">
        <f>IF(F48+SUM(E$17:E48)=D$10,F48,D$10-SUM(E$17:E48))</f>
        <v>478853.52854489995</v>
      </c>
      <c r="E49" s="510">
        <f t="shared" si="10"/>
        <v>262784.23529411765</v>
      </c>
      <c r="F49" s="511">
        <f t="shared" si="11"/>
        <v>216069.2932507823</v>
      </c>
      <c r="G49" s="512">
        <f t="shared" si="12"/>
        <v>299760.08794570458</v>
      </c>
      <c r="H49" s="478">
        <f t="shared" si="13"/>
        <v>299760.08794570458</v>
      </c>
      <c r="I49" s="501">
        <f t="shared" si="1"/>
        <v>0</v>
      </c>
      <c r="J49" s="501"/>
      <c r="K49" s="513"/>
      <c r="L49" s="505">
        <f t="shared" si="2"/>
        <v>0</v>
      </c>
      <c r="M49" s="513"/>
      <c r="N49" s="505">
        <f t="shared" si="3"/>
        <v>0</v>
      </c>
      <c r="O49" s="505">
        <f t="shared" si="4"/>
        <v>0</v>
      </c>
      <c r="P49" s="279"/>
    </row>
    <row r="50" spans="2:16">
      <c r="B50" s="145" t="str">
        <f t="shared" si="0"/>
        <v/>
      </c>
      <c r="C50" s="496">
        <f>IF(D11="","-",+C49+1)</f>
        <v>2051</v>
      </c>
      <c r="D50" s="509">
        <f>IF(F49+SUM(E$17:E49)=D$10,F49,D$10-SUM(E$17:E49))</f>
        <v>216069.2932507823</v>
      </c>
      <c r="E50" s="510">
        <f t="shared" si="10"/>
        <v>216069.2932507823</v>
      </c>
      <c r="F50" s="511">
        <f t="shared" si="11"/>
        <v>0</v>
      </c>
      <c r="G50" s="512">
        <f t="shared" si="12"/>
        <v>227566.032311861</v>
      </c>
      <c r="H50" s="478">
        <f t="shared" si="13"/>
        <v>227566.032311861</v>
      </c>
      <c r="I50" s="501">
        <f t="shared" si="1"/>
        <v>0</v>
      </c>
      <c r="J50" s="501"/>
      <c r="K50" s="513"/>
      <c r="L50" s="505">
        <f t="shared" si="2"/>
        <v>0</v>
      </c>
      <c r="M50" s="513"/>
      <c r="N50" s="505">
        <f t="shared" si="3"/>
        <v>0</v>
      </c>
      <c r="O50" s="505">
        <f t="shared" si="4"/>
        <v>0</v>
      </c>
      <c r="P50" s="279"/>
    </row>
    <row r="51" spans="2:16">
      <c r="B51" s="145" t="str">
        <f t="shared" si="0"/>
        <v/>
      </c>
      <c r="C51" s="496">
        <f>IF(D11="","-",+C50+1)</f>
        <v>2052</v>
      </c>
      <c r="D51" s="509">
        <f>IF(F50+SUM(E$17:E50)=D$10,F50,D$10-SUM(E$17:E50))</f>
        <v>0</v>
      </c>
      <c r="E51" s="510">
        <f t="shared" si="10"/>
        <v>0</v>
      </c>
      <c r="F51" s="511">
        <f t="shared" si="11"/>
        <v>0</v>
      </c>
      <c r="G51" s="512">
        <f t="shared" si="12"/>
        <v>0</v>
      </c>
      <c r="H51" s="478">
        <f t="shared" si="13"/>
        <v>0</v>
      </c>
      <c r="I51" s="501">
        <f t="shared" si="1"/>
        <v>0</v>
      </c>
      <c r="J51" s="501"/>
      <c r="K51" s="513"/>
      <c r="L51" s="505">
        <f t="shared" si="2"/>
        <v>0</v>
      </c>
      <c r="M51" s="513"/>
      <c r="N51" s="505">
        <f t="shared" si="3"/>
        <v>0</v>
      </c>
      <c r="O51" s="505">
        <f t="shared" si="4"/>
        <v>0</v>
      </c>
      <c r="P51" s="279"/>
    </row>
    <row r="52" spans="2:16">
      <c r="B52" s="145" t="str">
        <f t="shared" si="0"/>
        <v/>
      </c>
      <c r="C52" s="496">
        <f>IF(D11="","-",+C51+1)</f>
        <v>2053</v>
      </c>
      <c r="D52" s="509">
        <f>IF(F51+SUM(E$17:E51)=D$10,F51,D$10-SUM(E$17:E51))</f>
        <v>0</v>
      </c>
      <c r="E52" s="510">
        <f t="shared" si="10"/>
        <v>0</v>
      </c>
      <c r="F52" s="511">
        <f t="shared" si="11"/>
        <v>0</v>
      </c>
      <c r="G52" s="512">
        <f t="shared" si="12"/>
        <v>0</v>
      </c>
      <c r="H52" s="478">
        <f t="shared" si="13"/>
        <v>0</v>
      </c>
      <c r="I52" s="501">
        <f t="shared" si="1"/>
        <v>0</v>
      </c>
      <c r="J52" s="501"/>
      <c r="K52" s="513"/>
      <c r="L52" s="505">
        <f t="shared" si="2"/>
        <v>0</v>
      </c>
      <c r="M52" s="513"/>
      <c r="N52" s="505">
        <f t="shared" si="3"/>
        <v>0</v>
      </c>
      <c r="O52" s="505">
        <f t="shared" si="4"/>
        <v>0</v>
      </c>
      <c r="P52" s="279"/>
    </row>
    <row r="53" spans="2:16">
      <c r="B53" s="145" t="str">
        <f t="shared" si="0"/>
        <v/>
      </c>
      <c r="C53" s="496">
        <f>IF(D11="","-",+C52+1)</f>
        <v>2054</v>
      </c>
      <c r="D53" s="509">
        <f>IF(F52+SUM(E$17:E52)=D$10,F52,D$10-SUM(E$17:E52))</f>
        <v>0</v>
      </c>
      <c r="E53" s="510">
        <f t="shared" si="10"/>
        <v>0</v>
      </c>
      <c r="F53" s="511">
        <f t="shared" si="11"/>
        <v>0</v>
      </c>
      <c r="G53" s="512">
        <f t="shared" si="12"/>
        <v>0</v>
      </c>
      <c r="H53" s="478">
        <f t="shared" si="13"/>
        <v>0</v>
      </c>
      <c r="I53" s="501">
        <f t="shared" si="1"/>
        <v>0</v>
      </c>
      <c r="J53" s="501"/>
      <c r="K53" s="513"/>
      <c r="L53" s="505">
        <f t="shared" si="2"/>
        <v>0</v>
      </c>
      <c r="M53" s="513"/>
      <c r="N53" s="505">
        <f t="shared" si="3"/>
        <v>0</v>
      </c>
      <c r="O53" s="505">
        <f t="shared" si="4"/>
        <v>0</v>
      </c>
      <c r="P53" s="279"/>
    </row>
    <row r="54" spans="2:16">
      <c r="B54" s="145" t="str">
        <f t="shared" si="0"/>
        <v/>
      </c>
      <c r="C54" s="496">
        <f>IF(D11="","-",+C53+1)</f>
        <v>2055</v>
      </c>
      <c r="D54" s="509">
        <f>IF(F53+SUM(E$17:E53)=D$10,F53,D$10-SUM(E$17:E53))</f>
        <v>0</v>
      </c>
      <c r="E54" s="510">
        <f t="shared" si="10"/>
        <v>0</v>
      </c>
      <c r="F54" s="511">
        <f t="shared" si="11"/>
        <v>0</v>
      </c>
      <c r="G54" s="512">
        <f t="shared" si="12"/>
        <v>0</v>
      </c>
      <c r="H54" s="478">
        <f t="shared" si="13"/>
        <v>0</v>
      </c>
      <c r="I54" s="501">
        <f t="shared" si="1"/>
        <v>0</v>
      </c>
      <c r="J54" s="501"/>
      <c r="K54" s="513"/>
      <c r="L54" s="505">
        <f t="shared" si="2"/>
        <v>0</v>
      </c>
      <c r="M54" s="513"/>
      <c r="N54" s="505">
        <f t="shared" si="3"/>
        <v>0</v>
      </c>
      <c r="O54" s="505">
        <f t="shared" si="4"/>
        <v>0</v>
      </c>
      <c r="P54" s="279"/>
    </row>
    <row r="55" spans="2:16">
      <c r="B55" s="145" t="str">
        <f t="shared" si="0"/>
        <v/>
      </c>
      <c r="C55" s="496">
        <f>IF(D11="","-",+C54+1)</f>
        <v>2056</v>
      </c>
      <c r="D55" s="509">
        <f>IF(F54+SUM(E$17:E54)=D$10,F54,D$10-SUM(E$17:E54))</f>
        <v>0</v>
      </c>
      <c r="E55" s="510">
        <f t="shared" si="10"/>
        <v>0</v>
      </c>
      <c r="F55" s="511">
        <f t="shared" si="11"/>
        <v>0</v>
      </c>
      <c r="G55" s="512">
        <f t="shared" si="12"/>
        <v>0</v>
      </c>
      <c r="H55" s="478">
        <f t="shared" si="13"/>
        <v>0</v>
      </c>
      <c r="I55" s="501">
        <f t="shared" si="1"/>
        <v>0</v>
      </c>
      <c r="J55" s="501"/>
      <c r="K55" s="513"/>
      <c r="L55" s="505">
        <f t="shared" si="2"/>
        <v>0</v>
      </c>
      <c r="M55" s="513"/>
      <c r="N55" s="505">
        <f t="shared" si="3"/>
        <v>0</v>
      </c>
      <c r="O55" s="505">
        <f t="shared" si="4"/>
        <v>0</v>
      </c>
      <c r="P55" s="279"/>
    </row>
    <row r="56" spans="2:16">
      <c r="B56" s="145" t="str">
        <f t="shared" si="0"/>
        <v/>
      </c>
      <c r="C56" s="496">
        <f>IF(D11="","-",+C55+1)</f>
        <v>2057</v>
      </c>
      <c r="D56" s="509">
        <f>IF(F55+SUM(E$17:E55)=D$10,F55,D$10-SUM(E$17:E55))</f>
        <v>0</v>
      </c>
      <c r="E56" s="510">
        <f t="shared" si="10"/>
        <v>0</v>
      </c>
      <c r="F56" s="511">
        <f t="shared" si="11"/>
        <v>0</v>
      </c>
      <c r="G56" s="512">
        <f t="shared" si="12"/>
        <v>0</v>
      </c>
      <c r="H56" s="478">
        <f t="shared" si="13"/>
        <v>0</v>
      </c>
      <c r="I56" s="501">
        <f t="shared" si="1"/>
        <v>0</v>
      </c>
      <c r="J56" s="501"/>
      <c r="K56" s="513"/>
      <c r="L56" s="505">
        <f t="shared" si="2"/>
        <v>0</v>
      </c>
      <c r="M56" s="513"/>
      <c r="N56" s="505">
        <f t="shared" si="3"/>
        <v>0</v>
      </c>
      <c r="O56" s="505">
        <f t="shared" si="4"/>
        <v>0</v>
      </c>
      <c r="P56" s="279"/>
    </row>
    <row r="57" spans="2:16">
      <c r="B57" s="145" t="str">
        <f t="shared" si="0"/>
        <v/>
      </c>
      <c r="C57" s="496">
        <f>IF(D11="","-",+C56+1)</f>
        <v>2058</v>
      </c>
      <c r="D57" s="509">
        <f>IF(F56+SUM(E$17:E56)=D$10,F56,D$10-SUM(E$17:E56))</f>
        <v>0</v>
      </c>
      <c r="E57" s="510">
        <f t="shared" si="10"/>
        <v>0</v>
      </c>
      <c r="F57" s="511">
        <f t="shared" si="11"/>
        <v>0</v>
      </c>
      <c r="G57" s="512">
        <f t="shared" si="12"/>
        <v>0</v>
      </c>
      <c r="H57" s="478">
        <f t="shared" si="13"/>
        <v>0</v>
      </c>
      <c r="I57" s="501">
        <f t="shared" si="1"/>
        <v>0</v>
      </c>
      <c r="J57" s="501"/>
      <c r="K57" s="513"/>
      <c r="L57" s="505">
        <f t="shared" si="2"/>
        <v>0</v>
      </c>
      <c r="M57" s="513"/>
      <c r="N57" s="505">
        <f t="shared" si="3"/>
        <v>0</v>
      </c>
      <c r="O57" s="505">
        <f t="shared" si="4"/>
        <v>0</v>
      </c>
      <c r="P57" s="279"/>
    </row>
    <row r="58" spans="2:16">
      <c r="B58" s="145" t="str">
        <f t="shared" si="0"/>
        <v/>
      </c>
      <c r="C58" s="496">
        <f>IF(D11="","-",+C57+1)</f>
        <v>2059</v>
      </c>
      <c r="D58" s="509">
        <f>IF(F57+SUM(E$17:E57)=D$10,F57,D$10-SUM(E$17:E57))</f>
        <v>0</v>
      </c>
      <c r="E58" s="510">
        <f t="shared" si="10"/>
        <v>0</v>
      </c>
      <c r="F58" s="511">
        <f t="shared" si="11"/>
        <v>0</v>
      </c>
      <c r="G58" s="512">
        <f t="shared" si="12"/>
        <v>0</v>
      </c>
      <c r="H58" s="478">
        <f t="shared" si="13"/>
        <v>0</v>
      </c>
      <c r="I58" s="501">
        <f t="shared" si="1"/>
        <v>0</v>
      </c>
      <c r="J58" s="501"/>
      <c r="K58" s="513"/>
      <c r="L58" s="505">
        <f t="shared" si="2"/>
        <v>0</v>
      </c>
      <c r="M58" s="513"/>
      <c r="N58" s="505">
        <f t="shared" si="3"/>
        <v>0</v>
      </c>
      <c r="O58" s="505">
        <f t="shared" si="4"/>
        <v>0</v>
      </c>
      <c r="P58" s="279"/>
    </row>
    <row r="59" spans="2:16">
      <c r="B59" s="145" t="str">
        <f t="shared" si="0"/>
        <v/>
      </c>
      <c r="C59" s="496">
        <f>IF(D11="","-",+C58+1)</f>
        <v>2060</v>
      </c>
      <c r="D59" s="509">
        <f>IF(F58+SUM(E$17:E58)=D$10,F58,D$10-SUM(E$17:E58))</f>
        <v>0</v>
      </c>
      <c r="E59" s="510">
        <f t="shared" si="10"/>
        <v>0</v>
      </c>
      <c r="F59" s="511">
        <f t="shared" si="11"/>
        <v>0</v>
      </c>
      <c r="G59" s="512">
        <f t="shared" si="12"/>
        <v>0</v>
      </c>
      <c r="H59" s="478">
        <f t="shared" si="13"/>
        <v>0</v>
      </c>
      <c r="I59" s="501">
        <f t="shared" si="1"/>
        <v>0</v>
      </c>
      <c r="J59" s="501"/>
      <c r="K59" s="513"/>
      <c r="L59" s="505">
        <f t="shared" si="2"/>
        <v>0</v>
      </c>
      <c r="M59" s="513"/>
      <c r="N59" s="505">
        <f t="shared" si="3"/>
        <v>0</v>
      </c>
      <c r="O59" s="505">
        <f t="shared" si="4"/>
        <v>0</v>
      </c>
      <c r="P59" s="279"/>
    </row>
    <row r="60" spans="2:16">
      <c r="B60" s="145" t="str">
        <f t="shared" si="0"/>
        <v/>
      </c>
      <c r="C60" s="496">
        <f>IF(D11="","-",+C59+1)</f>
        <v>2061</v>
      </c>
      <c r="D60" s="509">
        <f>IF(F59+SUM(E$17:E59)=D$10,F59,D$10-SUM(E$17:E59))</f>
        <v>0</v>
      </c>
      <c r="E60" s="510">
        <f t="shared" si="10"/>
        <v>0</v>
      </c>
      <c r="F60" s="511">
        <f t="shared" si="11"/>
        <v>0</v>
      </c>
      <c r="G60" s="512">
        <f t="shared" si="12"/>
        <v>0</v>
      </c>
      <c r="H60" s="478">
        <f t="shared" si="13"/>
        <v>0</v>
      </c>
      <c r="I60" s="501">
        <f t="shared" si="1"/>
        <v>0</v>
      </c>
      <c r="J60" s="501"/>
      <c r="K60" s="513"/>
      <c r="L60" s="505">
        <f t="shared" si="2"/>
        <v>0</v>
      </c>
      <c r="M60" s="513"/>
      <c r="N60" s="505">
        <f t="shared" si="3"/>
        <v>0</v>
      </c>
      <c r="O60" s="505">
        <f t="shared" si="4"/>
        <v>0</v>
      </c>
      <c r="P60" s="279"/>
    </row>
    <row r="61" spans="2:16">
      <c r="B61" s="145" t="str">
        <f t="shared" si="0"/>
        <v/>
      </c>
      <c r="C61" s="496">
        <f>IF(D11="","-",+C60+1)</f>
        <v>2062</v>
      </c>
      <c r="D61" s="509">
        <f>IF(F60+SUM(E$17:E60)=D$10,F60,D$10-SUM(E$17:E60))</f>
        <v>0</v>
      </c>
      <c r="E61" s="510">
        <f t="shared" si="10"/>
        <v>0</v>
      </c>
      <c r="F61" s="511">
        <f t="shared" si="11"/>
        <v>0</v>
      </c>
      <c r="G61" s="524">
        <f t="shared" si="12"/>
        <v>0</v>
      </c>
      <c r="H61" s="478">
        <f t="shared" si="13"/>
        <v>0</v>
      </c>
      <c r="I61" s="501">
        <f t="shared" si="1"/>
        <v>0</v>
      </c>
      <c r="J61" s="501"/>
      <c r="K61" s="513"/>
      <c r="L61" s="505">
        <f t="shared" si="2"/>
        <v>0</v>
      </c>
      <c r="M61" s="513"/>
      <c r="N61" s="505">
        <f t="shared" si="3"/>
        <v>0</v>
      </c>
      <c r="O61" s="505">
        <f t="shared" si="4"/>
        <v>0</v>
      </c>
      <c r="P61" s="279"/>
    </row>
    <row r="62" spans="2:16">
      <c r="B62" s="145" t="str">
        <f t="shared" si="0"/>
        <v/>
      </c>
      <c r="C62" s="496">
        <f>IF(D11="","-",+C61+1)</f>
        <v>2063</v>
      </c>
      <c r="D62" s="509">
        <f>IF(F61+SUM(E$17:E61)=D$10,F61,D$10-SUM(E$17:E61))</f>
        <v>0</v>
      </c>
      <c r="E62" s="510">
        <f t="shared" si="10"/>
        <v>0</v>
      </c>
      <c r="F62" s="511">
        <f t="shared" si="11"/>
        <v>0</v>
      </c>
      <c r="G62" s="524">
        <f t="shared" si="12"/>
        <v>0</v>
      </c>
      <c r="H62" s="478">
        <f t="shared" si="13"/>
        <v>0</v>
      </c>
      <c r="I62" s="501">
        <f t="shared" si="1"/>
        <v>0</v>
      </c>
      <c r="J62" s="501"/>
      <c r="K62" s="513"/>
      <c r="L62" s="505">
        <f t="shared" si="2"/>
        <v>0</v>
      </c>
      <c r="M62" s="513"/>
      <c r="N62" s="505">
        <f t="shared" si="3"/>
        <v>0</v>
      </c>
      <c r="O62" s="505">
        <f t="shared" si="4"/>
        <v>0</v>
      </c>
      <c r="P62" s="279"/>
    </row>
    <row r="63" spans="2:16">
      <c r="B63" s="145" t="str">
        <f t="shared" si="0"/>
        <v/>
      </c>
      <c r="C63" s="496">
        <f>IF(D11="","-",+C62+1)</f>
        <v>2064</v>
      </c>
      <c r="D63" s="509">
        <f>IF(F62+SUM(E$17:E62)=D$10,F62,D$10-SUM(E$17:E62))</f>
        <v>0</v>
      </c>
      <c r="E63" s="510">
        <f t="shared" si="10"/>
        <v>0</v>
      </c>
      <c r="F63" s="511">
        <f t="shared" si="11"/>
        <v>0</v>
      </c>
      <c r="G63" s="524">
        <f t="shared" si="12"/>
        <v>0</v>
      </c>
      <c r="H63" s="478">
        <f t="shared" si="13"/>
        <v>0</v>
      </c>
      <c r="I63" s="501">
        <f t="shared" si="1"/>
        <v>0</v>
      </c>
      <c r="J63" s="501"/>
      <c r="K63" s="513"/>
      <c r="L63" s="505">
        <f t="shared" si="2"/>
        <v>0</v>
      </c>
      <c r="M63" s="513"/>
      <c r="N63" s="505">
        <f t="shared" si="3"/>
        <v>0</v>
      </c>
      <c r="O63" s="505">
        <f t="shared" si="4"/>
        <v>0</v>
      </c>
      <c r="P63" s="279"/>
    </row>
    <row r="64" spans="2:16">
      <c r="B64" s="145" t="str">
        <f t="shared" si="0"/>
        <v/>
      </c>
      <c r="C64" s="496">
        <f>IF(D11="","-",+C63+1)</f>
        <v>2065</v>
      </c>
      <c r="D64" s="509">
        <f>IF(F63+SUM(E$17:E63)=D$10,F63,D$10-SUM(E$17:E63))</f>
        <v>0</v>
      </c>
      <c r="E64" s="510">
        <f t="shared" si="10"/>
        <v>0</v>
      </c>
      <c r="F64" s="511">
        <f t="shared" si="11"/>
        <v>0</v>
      </c>
      <c r="G64" s="524">
        <f t="shared" si="12"/>
        <v>0</v>
      </c>
      <c r="H64" s="478">
        <f t="shared" si="13"/>
        <v>0</v>
      </c>
      <c r="I64" s="501">
        <f t="shared" si="1"/>
        <v>0</v>
      </c>
      <c r="J64" s="501"/>
      <c r="K64" s="513"/>
      <c r="L64" s="505">
        <f t="shared" si="2"/>
        <v>0</v>
      </c>
      <c r="M64" s="513"/>
      <c r="N64" s="505">
        <f t="shared" si="3"/>
        <v>0</v>
      </c>
      <c r="O64" s="505">
        <f t="shared" si="4"/>
        <v>0</v>
      </c>
      <c r="P64" s="279"/>
    </row>
    <row r="65" spans="2:16">
      <c r="B65" s="145" t="str">
        <f t="shared" si="0"/>
        <v/>
      </c>
      <c r="C65" s="496">
        <f>IF(D11="","-",+C64+1)</f>
        <v>2066</v>
      </c>
      <c r="D65" s="509">
        <f>IF(F64+SUM(E$17:E64)=D$10,F64,D$10-SUM(E$17:E64))</f>
        <v>0</v>
      </c>
      <c r="E65" s="510">
        <f t="shared" si="10"/>
        <v>0</v>
      </c>
      <c r="F65" s="511">
        <f t="shared" si="11"/>
        <v>0</v>
      </c>
      <c r="G65" s="524">
        <f t="shared" si="12"/>
        <v>0</v>
      </c>
      <c r="H65" s="478">
        <f t="shared" si="13"/>
        <v>0</v>
      </c>
      <c r="I65" s="501">
        <f t="shared" si="1"/>
        <v>0</v>
      </c>
      <c r="J65" s="501"/>
      <c r="K65" s="513"/>
      <c r="L65" s="505">
        <f t="shared" si="2"/>
        <v>0</v>
      </c>
      <c r="M65" s="513"/>
      <c r="N65" s="505">
        <f t="shared" si="3"/>
        <v>0</v>
      </c>
      <c r="O65" s="505">
        <f t="shared" si="4"/>
        <v>0</v>
      </c>
      <c r="P65" s="279"/>
    </row>
    <row r="66" spans="2:16">
      <c r="B66" s="145" t="str">
        <f t="shared" si="0"/>
        <v/>
      </c>
      <c r="C66" s="496">
        <f>IF(D11="","-",+C65+1)</f>
        <v>2067</v>
      </c>
      <c r="D66" s="509">
        <f>IF(F65+SUM(E$17:E65)=D$10,F65,D$10-SUM(E$17:E65))</f>
        <v>0</v>
      </c>
      <c r="E66" s="510">
        <f t="shared" si="10"/>
        <v>0</v>
      </c>
      <c r="F66" s="511">
        <f t="shared" si="11"/>
        <v>0</v>
      </c>
      <c r="G66" s="524">
        <f t="shared" si="12"/>
        <v>0</v>
      </c>
      <c r="H66" s="478">
        <f t="shared" si="13"/>
        <v>0</v>
      </c>
      <c r="I66" s="501">
        <f t="shared" si="1"/>
        <v>0</v>
      </c>
      <c r="J66" s="501"/>
      <c r="K66" s="513"/>
      <c r="L66" s="505">
        <f t="shared" si="2"/>
        <v>0</v>
      </c>
      <c r="M66" s="513"/>
      <c r="N66" s="505">
        <f t="shared" si="3"/>
        <v>0</v>
      </c>
      <c r="O66" s="505">
        <f t="shared" si="4"/>
        <v>0</v>
      </c>
      <c r="P66" s="279"/>
    </row>
    <row r="67" spans="2:16">
      <c r="B67" s="145" t="str">
        <f t="shared" si="0"/>
        <v/>
      </c>
      <c r="C67" s="496">
        <f>IF(D11="","-",+C66+1)</f>
        <v>2068</v>
      </c>
      <c r="D67" s="509">
        <f>IF(F66+SUM(E$17:E66)=D$10,F66,D$10-SUM(E$17:E66))</f>
        <v>0</v>
      </c>
      <c r="E67" s="510">
        <f t="shared" si="10"/>
        <v>0</v>
      </c>
      <c r="F67" s="511">
        <f t="shared" si="11"/>
        <v>0</v>
      </c>
      <c r="G67" s="524">
        <f t="shared" si="12"/>
        <v>0</v>
      </c>
      <c r="H67" s="478">
        <f t="shared" si="13"/>
        <v>0</v>
      </c>
      <c r="I67" s="501">
        <f t="shared" si="1"/>
        <v>0</v>
      </c>
      <c r="J67" s="501"/>
      <c r="K67" s="513"/>
      <c r="L67" s="505">
        <f t="shared" si="2"/>
        <v>0</v>
      </c>
      <c r="M67" s="513"/>
      <c r="N67" s="505">
        <f t="shared" si="3"/>
        <v>0</v>
      </c>
      <c r="O67" s="505">
        <f t="shared" si="4"/>
        <v>0</v>
      </c>
      <c r="P67" s="279"/>
    </row>
    <row r="68" spans="2:16">
      <c r="B68" s="145" t="str">
        <f t="shared" si="0"/>
        <v/>
      </c>
      <c r="C68" s="496">
        <f>IF(D11="","-",+C67+1)</f>
        <v>2069</v>
      </c>
      <c r="D68" s="509">
        <f>IF(F67+SUM(E$17:E67)=D$10,F67,D$10-SUM(E$17:E67))</f>
        <v>0</v>
      </c>
      <c r="E68" s="510">
        <f t="shared" si="10"/>
        <v>0</v>
      </c>
      <c r="F68" s="511">
        <f t="shared" si="11"/>
        <v>0</v>
      </c>
      <c r="G68" s="524">
        <f t="shared" si="12"/>
        <v>0</v>
      </c>
      <c r="H68" s="478">
        <f t="shared" si="13"/>
        <v>0</v>
      </c>
      <c r="I68" s="501">
        <f t="shared" si="1"/>
        <v>0</v>
      </c>
      <c r="J68" s="501"/>
      <c r="K68" s="513"/>
      <c r="L68" s="505">
        <f t="shared" si="2"/>
        <v>0</v>
      </c>
      <c r="M68" s="513"/>
      <c r="N68" s="505">
        <f t="shared" si="3"/>
        <v>0</v>
      </c>
      <c r="O68" s="505">
        <f t="shared" si="4"/>
        <v>0</v>
      </c>
      <c r="P68" s="279"/>
    </row>
    <row r="69" spans="2:16">
      <c r="B69" s="145" t="str">
        <f t="shared" si="0"/>
        <v/>
      </c>
      <c r="C69" s="496">
        <f>IF(D11="","-",+C68+1)</f>
        <v>2070</v>
      </c>
      <c r="D69" s="509">
        <f>IF(F68+SUM(E$17:E68)=D$10,F68,D$10-SUM(E$17:E68))</f>
        <v>0</v>
      </c>
      <c r="E69" s="510">
        <f t="shared" si="10"/>
        <v>0</v>
      </c>
      <c r="F69" s="511">
        <f t="shared" si="11"/>
        <v>0</v>
      </c>
      <c r="G69" s="524">
        <f t="shared" si="12"/>
        <v>0</v>
      </c>
      <c r="H69" s="478">
        <f t="shared" si="13"/>
        <v>0</v>
      </c>
      <c r="I69" s="501">
        <f t="shared" si="1"/>
        <v>0</v>
      </c>
      <c r="J69" s="501"/>
      <c r="K69" s="513"/>
      <c r="L69" s="505">
        <f t="shared" si="2"/>
        <v>0</v>
      </c>
      <c r="M69" s="513"/>
      <c r="N69" s="505">
        <f t="shared" si="3"/>
        <v>0</v>
      </c>
      <c r="O69" s="505">
        <f t="shared" si="4"/>
        <v>0</v>
      </c>
      <c r="P69" s="279"/>
    </row>
    <row r="70" spans="2:16">
      <c r="B70" s="145" t="str">
        <f t="shared" si="0"/>
        <v/>
      </c>
      <c r="C70" s="496">
        <f>IF(D11="","-",+C69+1)</f>
        <v>2071</v>
      </c>
      <c r="D70" s="509">
        <f>IF(F69+SUM(E$17:E69)=D$10,F69,D$10-SUM(E$17:E69))</f>
        <v>0</v>
      </c>
      <c r="E70" s="510">
        <f t="shared" si="10"/>
        <v>0</v>
      </c>
      <c r="F70" s="511">
        <f t="shared" si="11"/>
        <v>0</v>
      </c>
      <c r="G70" s="524">
        <f t="shared" si="12"/>
        <v>0</v>
      </c>
      <c r="H70" s="478">
        <f t="shared" si="13"/>
        <v>0</v>
      </c>
      <c r="I70" s="501">
        <f t="shared" si="1"/>
        <v>0</v>
      </c>
      <c r="J70" s="501"/>
      <c r="K70" s="513"/>
      <c r="L70" s="505">
        <f t="shared" si="2"/>
        <v>0</v>
      </c>
      <c r="M70" s="513"/>
      <c r="N70" s="505">
        <f t="shared" si="3"/>
        <v>0</v>
      </c>
      <c r="O70" s="505">
        <f t="shared" si="4"/>
        <v>0</v>
      </c>
      <c r="P70" s="279"/>
    </row>
    <row r="71" spans="2:16">
      <c r="B71" s="145" t="str">
        <f t="shared" si="0"/>
        <v/>
      </c>
      <c r="C71" s="496">
        <f>IF(D11="","-",+C70+1)</f>
        <v>2072</v>
      </c>
      <c r="D71" s="509">
        <f>IF(F70+SUM(E$17:E70)=D$10,F70,D$10-SUM(E$17:E70))</f>
        <v>0</v>
      </c>
      <c r="E71" s="510">
        <f t="shared" si="10"/>
        <v>0</v>
      </c>
      <c r="F71" s="511">
        <f t="shared" si="11"/>
        <v>0</v>
      </c>
      <c r="G71" s="524">
        <f t="shared" si="12"/>
        <v>0</v>
      </c>
      <c r="H71" s="478">
        <f t="shared" si="13"/>
        <v>0</v>
      </c>
      <c r="I71" s="501">
        <f t="shared" si="1"/>
        <v>0</v>
      </c>
      <c r="J71" s="501"/>
      <c r="K71" s="513"/>
      <c r="L71" s="505">
        <f t="shared" si="2"/>
        <v>0</v>
      </c>
      <c r="M71" s="513"/>
      <c r="N71" s="505">
        <f t="shared" si="3"/>
        <v>0</v>
      </c>
      <c r="O71" s="505">
        <f t="shared" si="4"/>
        <v>0</v>
      </c>
      <c r="P71" s="279"/>
    </row>
    <row r="72" spans="2:16">
      <c r="C72" s="496">
        <f>IF(D12="","-",+C71+1)</f>
        <v>2073</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2074</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8934664.0000000019</v>
      </c>
      <c r="F74" s="295"/>
      <c r="G74" s="295">
        <f>SUM(G17:G73)</f>
        <v>25705330.719686225</v>
      </c>
      <c r="H74" s="295">
        <f>SUM(H17:H73)</f>
        <v>25705330.719686225</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19 of 20</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2021</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1183351.4738305765</v>
      </c>
      <c r="N88" s="545">
        <f>IF(J93&lt;D11,0,VLOOKUP(J93,C17:O73,11))</f>
        <v>1183351.4738305765</v>
      </c>
      <c r="O88" s="546">
        <f>+N88-M88</f>
        <v>0</v>
      </c>
      <c r="P88" s="244"/>
    </row>
    <row r="89" spans="1:16" ht="15.75">
      <c r="C89" s="236"/>
      <c r="D89" s="293"/>
      <c r="E89" s="244"/>
      <c r="F89" s="244"/>
      <c r="G89" s="244"/>
      <c r="H89" s="244"/>
      <c r="I89" s="450"/>
      <c r="J89" s="450"/>
      <c r="K89" s="547"/>
      <c r="L89" s="548" t="s">
        <v>254</v>
      </c>
      <c r="M89" s="549">
        <f>IF(J93&lt;D11,0,VLOOKUP(J93,C100:P155,6))</f>
        <v>1304710.5262002475</v>
      </c>
      <c r="N89" s="549">
        <f>IF(J93&lt;D11,0,VLOOKUP(J93,C100:P155,7))</f>
        <v>1304710.5262002475</v>
      </c>
      <c r="O89" s="550">
        <f>+N89-M89</f>
        <v>0</v>
      </c>
      <c r="P89" s="244"/>
    </row>
    <row r="90" spans="1:16" ht="13.5" thickBot="1">
      <c r="C90" s="455" t="s">
        <v>82</v>
      </c>
      <c r="D90" s="551" t="str">
        <f>+D7</f>
        <v>Duncan-Comanche Tap 69 KV Rebuild</v>
      </c>
      <c r="E90" s="244"/>
      <c r="F90" s="244"/>
      <c r="G90" s="244"/>
      <c r="H90" s="244"/>
      <c r="I90" s="326"/>
      <c r="J90" s="326"/>
      <c r="K90" s="552"/>
      <c r="L90" s="553" t="s">
        <v>135</v>
      </c>
      <c r="M90" s="554">
        <f>+M89-M88</f>
        <v>121359.05236967094</v>
      </c>
      <c r="N90" s="554">
        <f>+N89-N88</f>
        <v>121359.05236967094</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2015191</v>
      </c>
      <c r="E92" s="559"/>
      <c r="F92" s="559"/>
      <c r="G92" s="559"/>
      <c r="H92" s="559"/>
      <c r="I92" s="559"/>
      <c r="J92" s="559"/>
      <c r="K92" s="561"/>
      <c r="P92" s="469"/>
    </row>
    <row r="93" spans="1:16">
      <c r="C93" s="473" t="s">
        <v>49</v>
      </c>
      <c r="D93" s="475">
        <v>8934664</v>
      </c>
      <c r="E93" s="249" t="s">
        <v>84</v>
      </c>
      <c r="H93" s="409"/>
      <c r="I93" s="409"/>
      <c r="J93" s="472">
        <f>+'OKT.WS.G.BPU.ATRR.True-up'!M16</f>
        <v>2021</v>
      </c>
      <c r="K93" s="468"/>
      <c r="L93" s="295" t="s">
        <v>85</v>
      </c>
      <c r="P93" s="279"/>
    </row>
    <row r="94" spans="1:16">
      <c r="C94" s="473" t="s">
        <v>52</v>
      </c>
      <c r="D94" s="562">
        <f>IF(D11="","",D11)</f>
        <v>2018</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562">
        <f>IF(D12="","",D12)</f>
        <v>5</v>
      </c>
      <c r="E95" s="473" t="s">
        <v>55</v>
      </c>
      <c r="F95" s="409"/>
      <c r="G95" s="409"/>
      <c r="J95" s="477">
        <f>'OKT.WS.G.BPU.ATRR.True-up'!$F$81</f>
        <v>0.11796201313639214</v>
      </c>
      <c r="K95" s="414"/>
      <c r="L95" s="145" t="s">
        <v>86</v>
      </c>
      <c r="P95" s="279"/>
    </row>
    <row r="96" spans="1:16">
      <c r="C96" s="473" t="s">
        <v>57</v>
      </c>
      <c r="D96" s="475">
        <f>'OKT.WS.G.BPU.ATRR.True-up'!F$93</f>
        <v>25</v>
      </c>
      <c r="E96" s="473" t="s">
        <v>58</v>
      </c>
      <c r="F96" s="409"/>
      <c r="G96" s="409"/>
      <c r="J96" s="477">
        <f>IF(H88="",J95,'OKT.WS.G.BPU.ATRR.True-up'!$F$80)</f>
        <v>0.11796201313639214</v>
      </c>
      <c r="K96" s="292"/>
      <c r="L96" s="295" t="s">
        <v>59</v>
      </c>
      <c r="M96" s="292"/>
      <c r="N96" s="292"/>
      <c r="O96" s="292"/>
      <c r="P96" s="279"/>
    </row>
    <row r="97" spans="1:16" ht="13.5" thickBot="1">
      <c r="C97" s="473" t="s">
        <v>60</v>
      </c>
      <c r="D97" s="563" t="str">
        <f>+D14</f>
        <v>No</v>
      </c>
      <c r="E97" s="564" t="s">
        <v>62</v>
      </c>
      <c r="F97" s="565"/>
      <c r="G97" s="565"/>
      <c r="H97" s="566"/>
      <c r="I97" s="566"/>
      <c r="J97" s="459">
        <f>IF(D93=0,0,D93/D96)</f>
        <v>357386.56</v>
      </c>
      <c r="K97" s="295"/>
      <c r="L97" s="295"/>
      <c r="M97" s="295"/>
      <c r="N97" s="295"/>
      <c r="O97" s="295"/>
      <c r="P97" s="279"/>
    </row>
    <row r="98" spans="1:16" ht="38.25">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c r="B100" s="145" t="str">
        <f t="shared" ref="B100:B155" si="14">IF(D100=F99,"","IU")</f>
        <v>IU</v>
      </c>
      <c r="C100" s="496">
        <f>IF(D94= "","-",D94)</f>
        <v>2018</v>
      </c>
      <c r="D100" s="497">
        <v>0</v>
      </c>
      <c r="E100" s="499">
        <v>157935.97979797979</v>
      </c>
      <c r="F100" s="506">
        <v>8776728.0202020202</v>
      </c>
      <c r="G100" s="506">
        <v>4388364.0101010101</v>
      </c>
      <c r="H100" s="499">
        <v>631919.77960959531</v>
      </c>
      <c r="I100" s="500">
        <v>631919.77960959531</v>
      </c>
      <c r="J100" s="505">
        <f t="shared" ref="J100:J131" si="15">+I100-H100</f>
        <v>0</v>
      </c>
      <c r="K100" s="505"/>
      <c r="L100" s="507">
        <f>+H100</f>
        <v>631919.77960959531</v>
      </c>
      <c r="M100" s="505">
        <f t="shared" ref="M100" si="16">IF(L100&lt;&gt;0,+H100-L100,0)</f>
        <v>0</v>
      </c>
      <c r="N100" s="507">
        <f>+I100</f>
        <v>631919.77960959531</v>
      </c>
      <c r="O100" s="587">
        <f t="shared" ref="O100:O101" si="17">IF(N100&lt;&gt;0,+I100-N100,0)</f>
        <v>0</v>
      </c>
      <c r="P100" s="505">
        <f t="shared" ref="P100" si="18">+O100-M100</f>
        <v>0</v>
      </c>
    </row>
    <row r="101" spans="1:16">
      <c r="B101" s="145" t="str">
        <f t="shared" si="14"/>
        <v>IU</v>
      </c>
      <c r="C101" s="496">
        <f>IF(D94="","-",+C100+1)</f>
        <v>2019</v>
      </c>
      <c r="D101" s="497">
        <v>8934664</v>
      </c>
      <c r="E101" s="499">
        <v>248185.11111111112</v>
      </c>
      <c r="F101" s="506">
        <v>8686478.8888888881</v>
      </c>
      <c r="G101" s="506">
        <v>8810571.444444444</v>
      </c>
      <c r="H101" s="499">
        <v>1178250.6107491101</v>
      </c>
      <c r="I101" s="500">
        <v>1178250.6107491101</v>
      </c>
      <c r="J101" s="505">
        <f t="shared" si="15"/>
        <v>0</v>
      </c>
      <c r="K101" s="505"/>
      <c r="L101" s="507">
        <f>H101</f>
        <v>1178250.6107491101</v>
      </c>
      <c r="M101" s="505">
        <f>IF(L101&lt;&gt;0,+H101-L101,0)</f>
        <v>0</v>
      </c>
      <c r="N101" s="507">
        <f>I101</f>
        <v>1178250.6107491101</v>
      </c>
      <c r="O101" s="505">
        <f t="shared" si="17"/>
        <v>0</v>
      </c>
      <c r="P101" s="505">
        <f>+O101-M101</f>
        <v>0</v>
      </c>
    </row>
    <row r="102" spans="1:16">
      <c r="B102" s="145" t="str">
        <f t="shared" si="14"/>
        <v>IU</v>
      </c>
      <c r="C102" s="496">
        <f>IF(D94="","-",+C101+1)</f>
        <v>2020</v>
      </c>
      <c r="D102" s="497">
        <v>8528542.9090909082</v>
      </c>
      <c r="E102" s="499">
        <v>319095.14285714284</v>
      </c>
      <c r="F102" s="506">
        <v>8209447.7662337655</v>
      </c>
      <c r="G102" s="506">
        <v>8368995.3376623373</v>
      </c>
      <c r="H102" s="499">
        <v>1209669.2196039241</v>
      </c>
      <c r="I102" s="500">
        <v>1209669.2196039241</v>
      </c>
      <c r="J102" s="505">
        <f t="shared" si="15"/>
        <v>0</v>
      </c>
      <c r="K102" s="505"/>
      <c r="L102" s="507">
        <f>H102</f>
        <v>1209669.2196039241</v>
      </c>
      <c r="M102" s="505">
        <f>IF(L102&lt;&gt;0,+H102-L102,0)</f>
        <v>0</v>
      </c>
      <c r="N102" s="507">
        <f>I102</f>
        <v>1209669.2196039241</v>
      </c>
      <c r="O102" s="505">
        <f t="shared" ref="O102" si="19">IF(N102&lt;&gt;0,+I102-N102,0)</f>
        <v>0</v>
      </c>
      <c r="P102" s="505">
        <f>+O102-M102</f>
        <v>0</v>
      </c>
    </row>
    <row r="103" spans="1:16">
      <c r="B103" s="145" t="str">
        <f t="shared" si="14"/>
        <v/>
      </c>
      <c r="C103" s="496">
        <f>IF(D94="","-",+C102+1)</f>
        <v>2021</v>
      </c>
      <c r="D103" s="350">
        <f>IF(F102+SUM(E$100:E102)=D$93,F102,D$93-SUM(E$100:E102))</f>
        <v>8209447.7662337655</v>
      </c>
      <c r="E103" s="510">
        <f t="shared" ref="E103:E155" si="20">IF(+J$97&lt;F102,J$97,D103)</f>
        <v>357386.56</v>
      </c>
      <c r="F103" s="511">
        <f t="shared" ref="F103:F155" si="21">+D103-E103</f>
        <v>7852061.2062337659</v>
      </c>
      <c r="G103" s="511">
        <f t="shared" ref="G103:G155" si="22">+(F103+D103)/2</f>
        <v>8030754.4862337653</v>
      </c>
      <c r="H103" s="646">
        <f t="shared" ref="H103:H155" si="23">(D103+F103)/2*J$95+E103</f>
        <v>1304710.5262002475</v>
      </c>
      <c r="I103" s="628">
        <f t="shared" ref="I103:I155" si="24">+J$96*G103+E103</f>
        <v>1304710.5262002475</v>
      </c>
      <c r="J103" s="505">
        <f t="shared" si="15"/>
        <v>0</v>
      </c>
      <c r="K103" s="505"/>
      <c r="L103" s="513"/>
      <c r="M103" s="505">
        <f t="shared" ref="M103:M131" si="25">IF(L103&lt;&gt;0,+H103-L103,0)</f>
        <v>0</v>
      </c>
      <c r="N103" s="513"/>
      <c r="O103" s="505">
        <f t="shared" ref="O103:O131" si="26">IF(N103&lt;&gt;0,+I103-N103,0)</f>
        <v>0</v>
      </c>
      <c r="P103" s="505">
        <f t="shared" ref="P103:P131" si="27">+O103-M103</f>
        <v>0</v>
      </c>
    </row>
    <row r="104" spans="1:16">
      <c r="B104" s="145" t="str">
        <f t="shared" si="14"/>
        <v/>
      </c>
      <c r="C104" s="496">
        <f>IF(D94="","-",+C103+1)</f>
        <v>2022</v>
      </c>
      <c r="D104" s="350">
        <f>IF(F103+SUM(E$100:E103)=D$93,F103,D$93-SUM(E$100:E103))</f>
        <v>7852061.2062337659</v>
      </c>
      <c r="E104" s="510">
        <f t="shared" si="20"/>
        <v>357386.56</v>
      </c>
      <c r="F104" s="511">
        <f t="shared" si="21"/>
        <v>7494674.6462337663</v>
      </c>
      <c r="G104" s="511">
        <f t="shared" si="22"/>
        <v>7673367.9262337666</v>
      </c>
      <c r="H104" s="646">
        <f t="shared" si="23"/>
        <v>1262552.4881147577</v>
      </c>
      <c r="I104" s="628">
        <f t="shared" si="24"/>
        <v>1262552.4881147577</v>
      </c>
      <c r="J104" s="505">
        <f t="shared" si="15"/>
        <v>0</v>
      </c>
      <c r="K104" s="505"/>
      <c r="L104" s="513"/>
      <c r="M104" s="505">
        <f t="shared" si="25"/>
        <v>0</v>
      </c>
      <c r="N104" s="513"/>
      <c r="O104" s="505">
        <f t="shared" si="26"/>
        <v>0</v>
      </c>
      <c r="P104" s="505">
        <f t="shared" si="27"/>
        <v>0</v>
      </c>
    </row>
    <row r="105" spans="1:16">
      <c r="B105" s="145" t="str">
        <f t="shared" si="14"/>
        <v/>
      </c>
      <c r="C105" s="496">
        <f>IF(D94="","-",+C104+1)</f>
        <v>2023</v>
      </c>
      <c r="D105" s="350">
        <f>IF(F104+SUM(E$100:E104)=D$93,F104,D$93-SUM(E$100:E104))</f>
        <v>7494674.6462337663</v>
      </c>
      <c r="E105" s="510">
        <f t="shared" si="20"/>
        <v>357386.56</v>
      </c>
      <c r="F105" s="511">
        <f t="shared" si="21"/>
        <v>7137288.0862337667</v>
      </c>
      <c r="G105" s="511">
        <f t="shared" si="22"/>
        <v>7315981.3662337661</v>
      </c>
      <c r="H105" s="646">
        <f t="shared" si="23"/>
        <v>1220394.4500292677</v>
      </c>
      <c r="I105" s="628">
        <f t="shared" si="24"/>
        <v>1220394.4500292677</v>
      </c>
      <c r="J105" s="505">
        <f t="shared" si="15"/>
        <v>0</v>
      </c>
      <c r="K105" s="505"/>
      <c r="L105" s="513"/>
      <c r="M105" s="505">
        <f t="shared" si="25"/>
        <v>0</v>
      </c>
      <c r="N105" s="513"/>
      <c r="O105" s="505">
        <f t="shared" si="26"/>
        <v>0</v>
      </c>
      <c r="P105" s="505">
        <f t="shared" si="27"/>
        <v>0</v>
      </c>
    </row>
    <row r="106" spans="1:16">
      <c r="B106" s="145" t="str">
        <f t="shared" si="14"/>
        <v/>
      </c>
      <c r="C106" s="496">
        <f>IF(D94="","-",+C105+1)</f>
        <v>2024</v>
      </c>
      <c r="D106" s="350">
        <f>IF(F105+SUM(E$100:E105)=D$93,F105,D$93-SUM(E$100:E105))</f>
        <v>7137288.0862337667</v>
      </c>
      <c r="E106" s="510">
        <f t="shared" si="20"/>
        <v>357386.56</v>
      </c>
      <c r="F106" s="511">
        <f t="shared" si="21"/>
        <v>6779901.5262337672</v>
      </c>
      <c r="G106" s="511">
        <f t="shared" si="22"/>
        <v>6958594.8062337674</v>
      </c>
      <c r="H106" s="646">
        <f t="shared" si="23"/>
        <v>1178236.4119437777</v>
      </c>
      <c r="I106" s="628">
        <f t="shared" si="24"/>
        <v>1178236.4119437777</v>
      </c>
      <c r="J106" s="505">
        <f t="shared" si="15"/>
        <v>0</v>
      </c>
      <c r="K106" s="505"/>
      <c r="L106" s="513"/>
      <c r="M106" s="505">
        <f t="shared" si="25"/>
        <v>0</v>
      </c>
      <c r="N106" s="513"/>
      <c r="O106" s="505">
        <f t="shared" si="26"/>
        <v>0</v>
      </c>
      <c r="P106" s="505">
        <f t="shared" si="27"/>
        <v>0</v>
      </c>
    </row>
    <row r="107" spans="1:16">
      <c r="B107" s="145" t="str">
        <f t="shared" si="14"/>
        <v/>
      </c>
      <c r="C107" s="496">
        <f>IF(D94="","-",+C106+1)</f>
        <v>2025</v>
      </c>
      <c r="D107" s="350">
        <f>IF(F106+SUM(E$100:E106)=D$93,F106,D$93-SUM(E$100:E106))</f>
        <v>6779901.5262337672</v>
      </c>
      <c r="E107" s="510">
        <f t="shared" si="20"/>
        <v>357386.56</v>
      </c>
      <c r="F107" s="511">
        <f t="shared" si="21"/>
        <v>6422514.9662337676</v>
      </c>
      <c r="G107" s="511">
        <f t="shared" si="22"/>
        <v>6601208.2462337669</v>
      </c>
      <c r="H107" s="646">
        <f t="shared" si="23"/>
        <v>1136078.3738582877</v>
      </c>
      <c r="I107" s="628">
        <f t="shared" si="24"/>
        <v>1136078.3738582877</v>
      </c>
      <c r="J107" s="505">
        <f t="shared" si="15"/>
        <v>0</v>
      </c>
      <c r="K107" s="505"/>
      <c r="L107" s="513"/>
      <c r="M107" s="505">
        <f t="shared" si="25"/>
        <v>0</v>
      </c>
      <c r="N107" s="513"/>
      <c r="O107" s="505">
        <f t="shared" si="26"/>
        <v>0</v>
      </c>
      <c r="P107" s="505">
        <f t="shared" si="27"/>
        <v>0</v>
      </c>
    </row>
    <row r="108" spans="1:16">
      <c r="B108" s="145" t="str">
        <f t="shared" si="14"/>
        <v/>
      </c>
      <c r="C108" s="496">
        <f>IF(D94="","-",+C107+1)</f>
        <v>2026</v>
      </c>
      <c r="D108" s="350">
        <f>IF(F107+SUM(E$100:E107)=D$93,F107,D$93-SUM(E$100:E107))</f>
        <v>6422514.9662337676</v>
      </c>
      <c r="E108" s="510">
        <f t="shared" si="20"/>
        <v>357386.56</v>
      </c>
      <c r="F108" s="511">
        <f t="shared" si="21"/>
        <v>6065128.406233768</v>
      </c>
      <c r="G108" s="511">
        <f t="shared" si="22"/>
        <v>6243821.6862337682</v>
      </c>
      <c r="H108" s="646">
        <f t="shared" si="23"/>
        <v>1093920.3357727979</v>
      </c>
      <c r="I108" s="628">
        <f t="shared" si="24"/>
        <v>1093920.3357727979</v>
      </c>
      <c r="J108" s="505">
        <f t="shared" si="15"/>
        <v>0</v>
      </c>
      <c r="K108" s="505"/>
      <c r="L108" s="513"/>
      <c r="M108" s="505">
        <f t="shared" si="25"/>
        <v>0</v>
      </c>
      <c r="N108" s="513"/>
      <c r="O108" s="505">
        <f t="shared" si="26"/>
        <v>0</v>
      </c>
      <c r="P108" s="505">
        <f t="shared" si="27"/>
        <v>0</v>
      </c>
    </row>
    <row r="109" spans="1:16">
      <c r="B109" s="145" t="str">
        <f t="shared" si="14"/>
        <v/>
      </c>
      <c r="C109" s="496">
        <f>IF(D94="","-",+C108+1)</f>
        <v>2027</v>
      </c>
      <c r="D109" s="350">
        <f>IF(F108+SUM(E$100:E108)=D$93,F108,D$93-SUM(E$100:E108))</f>
        <v>6065128.406233768</v>
      </c>
      <c r="E109" s="510">
        <f t="shared" si="20"/>
        <v>357386.56</v>
      </c>
      <c r="F109" s="511">
        <f t="shared" si="21"/>
        <v>5707741.8462337684</v>
      </c>
      <c r="G109" s="511">
        <f t="shared" si="22"/>
        <v>5886435.1262337677</v>
      </c>
      <c r="H109" s="646">
        <f t="shared" si="23"/>
        <v>1051762.2976873079</v>
      </c>
      <c r="I109" s="628">
        <f t="shared" si="24"/>
        <v>1051762.2976873079</v>
      </c>
      <c r="J109" s="505">
        <f t="shared" si="15"/>
        <v>0</v>
      </c>
      <c r="K109" s="505"/>
      <c r="L109" s="513"/>
      <c r="M109" s="505">
        <f t="shared" si="25"/>
        <v>0</v>
      </c>
      <c r="N109" s="513"/>
      <c r="O109" s="505">
        <f t="shared" si="26"/>
        <v>0</v>
      </c>
      <c r="P109" s="505">
        <f t="shared" si="27"/>
        <v>0</v>
      </c>
    </row>
    <row r="110" spans="1:16">
      <c r="B110" s="145" t="str">
        <f t="shared" si="14"/>
        <v/>
      </c>
      <c r="C110" s="496">
        <f>IF(D94="","-",+C109+1)</f>
        <v>2028</v>
      </c>
      <c r="D110" s="350">
        <f>IF(F109+SUM(E$100:E109)=D$93,F109,D$93-SUM(E$100:E109))</f>
        <v>5707741.8462337684</v>
      </c>
      <c r="E110" s="510">
        <f t="shared" si="20"/>
        <v>357386.56</v>
      </c>
      <c r="F110" s="511">
        <f t="shared" si="21"/>
        <v>5350355.2862337688</v>
      </c>
      <c r="G110" s="511">
        <f t="shared" si="22"/>
        <v>5529048.5662337691</v>
      </c>
      <c r="H110" s="646">
        <f t="shared" si="23"/>
        <v>1009604.2596018179</v>
      </c>
      <c r="I110" s="628">
        <f t="shared" si="24"/>
        <v>1009604.2596018179</v>
      </c>
      <c r="J110" s="505">
        <f t="shared" si="15"/>
        <v>0</v>
      </c>
      <c r="K110" s="505"/>
      <c r="L110" s="513"/>
      <c r="M110" s="505">
        <f t="shared" si="25"/>
        <v>0</v>
      </c>
      <c r="N110" s="513"/>
      <c r="O110" s="505">
        <f t="shared" si="26"/>
        <v>0</v>
      </c>
      <c r="P110" s="505">
        <f t="shared" si="27"/>
        <v>0</v>
      </c>
    </row>
    <row r="111" spans="1:16">
      <c r="B111" s="145" t="str">
        <f t="shared" si="14"/>
        <v/>
      </c>
      <c r="C111" s="496">
        <f>IF(D94="","-",+C110+1)</f>
        <v>2029</v>
      </c>
      <c r="D111" s="350">
        <f>IF(F110+SUM(E$100:E110)=D$93,F110,D$93-SUM(E$100:E110))</f>
        <v>5350355.2862337688</v>
      </c>
      <c r="E111" s="510">
        <f t="shared" si="20"/>
        <v>357386.56</v>
      </c>
      <c r="F111" s="511">
        <f t="shared" si="21"/>
        <v>4992968.7262337692</v>
      </c>
      <c r="G111" s="511">
        <f t="shared" si="22"/>
        <v>5171662.0062337685</v>
      </c>
      <c r="H111" s="646">
        <f t="shared" si="23"/>
        <v>967446.22151632793</v>
      </c>
      <c r="I111" s="628">
        <f t="shared" si="24"/>
        <v>967446.22151632793</v>
      </c>
      <c r="J111" s="505">
        <f t="shared" si="15"/>
        <v>0</v>
      </c>
      <c r="K111" s="505"/>
      <c r="L111" s="513"/>
      <c r="M111" s="505">
        <f t="shared" si="25"/>
        <v>0</v>
      </c>
      <c r="N111" s="513"/>
      <c r="O111" s="505">
        <f t="shared" si="26"/>
        <v>0</v>
      </c>
      <c r="P111" s="505">
        <f t="shared" si="27"/>
        <v>0</v>
      </c>
    </row>
    <row r="112" spans="1:16">
      <c r="B112" s="145" t="str">
        <f t="shared" si="14"/>
        <v/>
      </c>
      <c r="C112" s="496">
        <f>IF(D94="","-",+C111+1)</f>
        <v>2030</v>
      </c>
      <c r="D112" s="350">
        <f>IF(F111+SUM(E$100:E111)=D$93,F111,D$93-SUM(E$100:E111))</f>
        <v>4992968.7262337692</v>
      </c>
      <c r="E112" s="510">
        <f t="shared" si="20"/>
        <v>357386.56</v>
      </c>
      <c r="F112" s="511">
        <f t="shared" si="21"/>
        <v>4635582.1662337696</v>
      </c>
      <c r="G112" s="511">
        <f t="shared" si="22"/>
        <v>4814275.4462337699</v>
      </c>
      <c r="H112" s="646">
        <f t="shared" si="23"/>
        <v>925288.18343083817</v>
      </c>
      <c r="I112" s="628">
        <f t="shared" si="24"/>
        <v>925288.18343083817</v>
      </c>
      <c r="J112" s="505">
        <f t="shared" si="15"/>
        <v>0</v>
      </c>
      <c r="K112" s="505"/>
      <c r="L112" s="513"/>
      <c r="M112" s="505">
        <f t="shared" si="25"/>
        <v>0</v>
      </c>
      <c r="N112" s="513"/>
      <c r="O112" s="505">
        <f t="shared" si="26"/>
        <v>0</v>
      </c>
      <c r="P112" s="505">
        <f t="shared" si="27"/>
        <v>0</v>
      </c>
    </row>
    <row r="113" spans="2:16">
      <c r="B113" s="145" t="str">
        <f t="shared" si="14"/>
        <v/>
      </c>
      <c r="C113" s="496">
        <f>IF(D94="","-",+C112+1)</f>
        <v>2031</v>
      </c>
      <c r="D113" s="350">
        <f>IF(F112+SUM(E$100:E112)=D$93,F112,D$93-SUM(E$100:E112))</f>
        <v>4635582.1662337696</v>
      </c>
      <c r="E113" s="510">
        <f t="shared" si="20"/>
        <v>357386.56</v>
      </c>
      <c r="F113" s="511">
        <f t="shared" si="21"/>
        <v>4278195.60623377</v>
      </c>
      <c r="G113" s="511">
        <f t="shared" si="22"/>
        <v>4456888.8862337694</v>
      </c>
      <c r="H113" s="646">
        <f t="shared" si="23"/>
        <v>883130.14534534793</v>
      </c>
      <c r="I113" s="628">
        <f t="shared" si="24"/>
        <v>883130.14534534793</v>
      </c>
      <c r="J113" s="505">
        <f t="shared" si="15"/>
        <v>0</v>
      </c>
      <c r="K113" s="505"/>
      <c r="L113" s="513"/>
      <c r="M113" s="505">
        <f t="shared" si="25"/>
        <v>0</v>
      </c>
      <c r="N113" s="513"/>
      <c r="O113" s="505">
        <f t="shared" si="26"/>
        <v>0</v>
      </c>
      <c r="P113" s="505">
        <f t="shared" si="27"/>
        <v>0</v>
      </c>
    </row>
    <row r="114" spans="2:16">
      <c r="B114" s="145" t="str">
        <f t="shared" si="14"/>
        <v/>
      </c>
      <c r="C114" s="496">
        <f>IF(D94="","-",+C113+1)</f>
        <v>2032</v>
      </c>
      <c r="D114" s="350">
        <f>IF(F113+SUM(E$100:E113)=D$93,F113,D$93-SUM(E$100:E113))</f>
        <v>4278195.60623377</v>
      </c>
      <c r="E114" s="510">
        <f t="shared" si="20"/>
        <v>357386.56</v>
      </c>
      <c r="F114" s="511">
        <f t="shared" si="21"/>
        <v>3920809.04623377</v>
      </c>
      <c r="G114" s="511">
        <f t="shared" si="22"/>
        <v>4099502.3262337698</v>
      </c>
      <c r="H114" s="646">
        <f t="shared" si="23"/>
        <v>840972.10725985805</v>
      </c>
      <c r="I114" s="628">
        <f t="shared" si="24"/>
        <v>840972.10725985805</v>
      </c>
      <c r="J114" s="505">
        <f t="shared" si="15"/>
        <v>0</v>
      </c>
      <c r="K114" s="505"/>
      <c r="L114" s="513"/>
      <c r="M114" s="505">
        <f t="shared" si="25"/>
        <v>0</v>
      </c>
      <c r="N114" s="513"/>
      <c r="O114" s="505">
        <f t="shared" si="26"/>
        <v>0</v>
      </c>
      <c r="P114" s="505">
        <f t="shared" si="27"/>
        <v>0</v>
      </c>
    </row>
    <row r="115" spans="2:16">
      <c r="B115" s="145" t="str">
        <f t="shared" si="14"/>
        <v/>
      </c>
      <c r="C115" s="496">
        <f>IF(D94="","-",+C114+1)</f>
        <v>2033</v>
      </c>
      <c r="D115" s="350">
        <f>IF(F114+SUM(E$100:E114)=D$93,F114,D$93-SUM(E$100:E114))</f>
        <v>3920809.04623377</v>
      </c>
      <c r="E115" s="510">
        <f t="shared" si="20"/>
        <v>357386.56</v>
      </c>
      <c r="F115" s="511">
        <f t="shared" si="21"/>
        <v>3563422.4862337699</v>
      </c>
      <c r="G115" s="511">
        <f t="shared" si="22"/>
        <v>3742115.7662337702</v>
      </c>
      <c r="H115" s="646">
        <f t="shared" si="23"/>
        <v>798814.06917436817</v>
      </c>
      <c r="I115" s="628">
        <f t="shared" si="24"/>
        <v>798814.06917436817</v>
      </c>
      <c r="J115" s="505">
        <f t="shared" si="15"/>
        <v>0</v>
      </c>
      <c r="K115" s="505"/>
      <c r="L115" s="513"/>
      <c r="M115" s="505">
        <f t="shared" si="25"/>
        <v>0</v>
      </c>
      <c r="N115" s="513"/>
      <c r="O115" s="505">
        <f t="shared" si="26"/>
        <v>0</v>
      </c>
      <c r="P115" s="505">
        <f t="shared" si="27"/>
        <v>0</v>
      </c>
    </row>
    <row r="116" spans="2:16">
      <c r="B116" s="145" t="str">
        <f t="shared" si="14"/>
        <v/>
      </c>
      <c r="C116" s="496">
        <f>IF(D94="","-",+C115+1)</f>
        <v>2034</v>
      </c>
      <c r="D116" s="350">
        <f>IF(F115+SUM(E$100:E115)=D$93,F115,D$93-SUM(E$100:E115))</f>
        <v>3563422.4862337699</v>
      </c>
      <c r="E116" s="510">
        <f t="shared" si="20"/>
        <v>357386.56</v>
      </c>
      <c r="F116" s="511">
        <f t="shared" si="21"/>
        <v>3206035.9262337699</v>
      </c>
      <c r="G116" s="511">
        <f t="shared" si="22"/>
        <v>3384729.2062337697</v>
      </c>
      <c r="H116" s="646">
        <f t="shared" si="23"/>
        <v>756656.03108887805</v>
      </c>
      <c r="I116" s="628">
        <f t="shared" si="24"/>
        <v>756656.03108887805</v>
      </c>
      <c r="J116" s="505">
        <f t="shared" si="15"/>
        <v>0</v>
      </c>
      <c r="K116" s="505"/>
      <c r="L116" s="513"/>
      <c r="M116" s="505">
        <f t="shared" si="25"/>
        <v>0</v>
      </c>
      <c r="N116" s="513"/>
      <c r="O116" s="505">
        <f t="shared" si="26"/>
        <v>0</v>
      </c>
      <c r="P116" s="505">
        <f t="shared" si="27"/>
        <v>0</v>
      </c>
    </row>
    <row r="117" spans="2:16">
      <c r="B117" s="145" t="str">
        <f t="shared" si="14"/>
        <v/>
      </c>
      <c r="C117" s="496">
        <f>IF(D94="","-",+C116+1)</f>
        <v>2035</v>
      </c>
      <c r="D117" s="350">
        <f>IF(F116+SUM(E$100:E116)=D$93,F116,D$93-SUM(E$100:E116))</f>
        <v>3206035.9262337699</v>
      </c>
      <c r="E117" s="510">
        <f t="shared" si="20"/>
        <v>357386.56</v>
      </c>
      <c r="F117" s="511">
        <f t="shared" si="21"/>
        <v>2848649.3662337698</v>
      </c>
      <c r="G117" s="511">
        <f t="shared" si="22"/>
        <v>3027342.6462337701</v>
      </c>
      <c r="H117" s="646">
        <f t="shared" si="23"/>
        <v>714497.99300338817</v>
      </c>
      <c r="I117" s="628">
        <f t="shared" si="24"/>
        <v>714497.99300338817</v>
      </c>
      <c r="J117" s="505">
        <f t="shared" si="15"/>
        <v>0</v>
      </c>
      <c r="K117" s="505"/>
      <c r="L117" s="513"/>
      <c r="M117" s="505">
        <f t="shared" si="25"/>
        <v>0</v>
      </c>
      <c r="N117" s="513"/>
      <c r="O117" s="505">
        <f t="shared" si="26"/>
        <v>0</v>
      </c>
      <c r="P117" s="505">
        <f t="shared" si="27"/>
        <v>0</v>
      </c>
    </row>
    <row r="118" spans="2:16">
      <c r="B118" s="145" t="str">
        <f t="shared" si="14"/>
        <v/>
      </c>
      <c r="C118" s="496">
        <f>IF(D94="","-",+C117+1)</f>
        <v>2036</v>
      </c>
      <c r="D118" s="350">
        <f>IF(F117+SUM(E$100:E117)=D$93,F117,D$93-SUM(E$100:E117))</f>
        <v>2848649.3662337698</v>
      </c>
      <c r="E118" s="510">
        <f t="shared" si="20"/>
        <v>357386.56</v>
      </c>
      <c r="F118" s="511">
        <f t="shared" si="21"/>
        <v>2491262.8062337697</v>
      </c>
      <c r="G118" s="511">
        <f t="shared" si="22"/>
        <v>2669956.0862337695</v>
      </c>
      <c r="H118" s="646">
        <f t="shared" si="23"/>
        <v>672339.95491789805</v>
      </c>
      <c r="I118" s="628">
        <f t="shared" si="24"/>
        <v>672339.95491789805</v>
      </c>
      <c r="J118" s="505">
        <f t="shared" si="15"/>
        <v>0</v>
      </c>
      <c r="K118" s="505"/>
      <c r="L118" s="513"/>
      <c r="M118" s="505">
        <f t="shared" si="25"/>
        <v>0</v>
      </c>
      <c r="N118" s="513"/>
      <c r="O118" s="505">
        <f t="shared" si="26"/>
        <v>0</v>
      </c>
      <c r="P118" s="505">
        <f t="shared" si="27"/>
        <v>0</v>
      </c>
    </row>
    <row r="119" spans="2:16">
      <c r="B119" s="145" t="str">
        <f t="shared" si="14"/>
        <v/>
      </c>
      <c r="C119" s="496">
        <f>IF(D94="","-",+C118+1)</f>
        <v>2037</v>
      </c>
      <c r="D119" s="350">
        <f>IF(F118+SUM(E$100:E118)=D$93,F118,D$93-SUM(E$100:E118))</f>
        <v>2491262.8062337697</v>
      </c>
      <c r="E119" s="510">
        <f t="shared" si="20"/>
        <v>357386.56</v>
      </c>
      <c r="F119" s="511">
        <f t="shared" si="21"/>
        <v>2133876.2462337697</v>
      </c>
      <c r="G119" s="511">
        <f t="shared" si="22"/>
        <v>2312569.52623377</v>
      </c>
      <c r="H119" s="646">
        <f t="shared" si="23"/>
        <v>630181.91683240817</v>
      </c>
      <c r="I119" s="628">
        <f t="shared" si="24"/>
        <v>630181.91683240817</v>
      </c>
      <c r="J119" s="505">
        <f t="shared" si="15"/>
        <v>0</v>
      </c>
      <c r="K119" s="505"/>
      <c r="L119" s="513"/>
      <c r="M119" s="505">
        <f t="shared" si="25"/>
        <v>0</v>
      </c>
      <c r="N119" s="513"/>
      <c r="O119" s="505">
        <f t="shared" si="26"/>
        <v>0</v>
      </c>
      <c r="P119" s="505">
        <f t="shared" si="27"/>
        <v>0</v>
      </c>
    </row>
    <row r="120" spans="2:16">
      <c r="B120" s="145" t="str">
        <f t="shared" si="14"/>
        <v/>
      </c>
      <c r="C120" s="496">
        <f>IF(D94="","-",+C119+1)</f>
        <v>2038</v>
      </c>
      <c r="D120" s="350">
        <f>IF(F119+SUM(E$100:E119)=D$93,F119,D$93-SUM(E$100:E119))</f>
        <v>2133876.2462337697</v>
      </c>
      <c r="E120" s="510">
        <f t="shared" si="20"/>
        <v>357386.56</v>
      </c>
      <c r="F120" s="511">
        <f t="shared" si="21"/>
        <v>1776489.6862337696</v>
      </c>
      <c r="G120" s="511">
        <f t="shared" si="22"/>
        <v>1955182.9662337697</v>
      </c>
      <c r="H120" s="646">
        <f t="shared" si="23"/>
        <v>588023.87874691805</v>
      </c>
      <c r="I120" s="628">
        <f t="shared" si="24"/>
        <v>588023.87874691805</v>
      </c>
      <c r="J120" s="505">
        <f t="shared" si="15"/>
        <v>0</v>
      </c>
      <c r="K120" s="505"/>
      <c r="L120" s="513"/>
      <c r="M120" s="505">
        <f t="shared" si="25"/>
        <v>0</v>
      </c>
      <c r="N120" s="513"/>
      <c r="O120" s="505">
        <f t="shared" si="26"/>
        <v>0</v>
      </c>
      <c r="P120" s="505">
        <f t="shared" si="27"/>
        <v>0</v>
      </c>
    </row>
    <row r="121" spans="2:16">
      <c r="B121" s="145" t="str">
        <f t="shared" si="14"/>
        <v/>
      </c>
      <c r="C121" s="496">
        <f>IF(D94="","-",+C120+1)</f>
        <v>2039</v>
      </c>
      <c r="D121" s="350">
        <f>IF(F120+SUM(E$100:E120)=D$93,F120,D$93-SUM(E$100:E120))</f>
        <v>1776489.6862337696</v>
      </c>
      <c r="E121" s="510">
        <f t="shared" si="20"/>
        <v>357386.56</v>
      </c>
      <c r="F121" s="511">
        <f t="shared" si="21"/>
        <v>1419103.1262337696</v>
      </c>
      <c r="G121" s="511">
        <f t="shared" si="22"/>
        <v>1597796.4062337696</v>
      </c>
      <c r="H121" s="646">
        <f t="shared" si="23"/>
        <v>545865.84066142805</v>
      </c>
      <c r="I121" s="628">
        <f t="shared" si="24"/>
        <v>545865.84066142805</v>
      </c>
      <c r="J121" s="505">
        <f t="shared" si="15"/>
        <v>0</v>
      </c>
      <c r="K121" s="505"/>
      <c r="L121" s="513"/>
      <c r="M121" s="505">
        <f t="shared" si="25"/>
        <v>0</v>
      </c>
      <c r="N121" s="513"/>
      <c r="O121" s="505">
        <f t="shared" si="26"/>
        <v>0</v>
      </c>
      <c r="P121" s="505">
        <f t="shared" si="27"/>
        <v>0</v>
      </c>
    </row>
    <row r="122" spans="2:16">
      <c r="B122" s="145" t="str">
        <f t="shared" si="14"/>
        <v/>
      </c>
      <c r="C122" s="496">
        <f>IF(D94="","-",+C121+1)</f>
        <v>2040</v>
      </c>
      <c r="D122" s="350">
        <f>IF(F121+SUM(E$100:E121)=D$93,F121,D$93-SUM(E$100:E121))</f>
        <v>1419103.1262337696</v>
      </c>
      <c r="E122" s="510">
        <f t="shared" si="20"/>
        <v>357386.56</v>
      </c>
      <c r="F122" s="511">
        <f t="shared" si="21"/>
        <v>1061716.5662337695</v>
      </c>
      <c r="G122" s="511">
        <f t="shared" si="22"/>
        <v>1240409.8462337696</v>
      </c>
      <c r="H122" s="646">
        <f t="shared" si="23"/>
        <v>503707.80257593805</v>
      </c>
      <c r="I122" s="628">
        <f t="shared" si="24"/>
        <v>503707.80257593805</v>
      </c>
      <c r="J122" s="505">
        <f t="shared" si="15"/>
        <v>0</v>
      </c>
      <c r="K122" s="505"/>
      <c r="L122" s="513"/>
      <c r="M122" s="505">
        <f t="shared" si="25"/>
        <v>0</v>
      </c>
      <c r="N122" s="513"/>
      <c r="O122" s="505">
        <f t="shared" si="26"/>
        <v>0</v>
      </c>
      <c r="P122" s="505">
        <f t="shared" si="27"/>
        <v>0</v>
      </c>
    </row>
    <row r="123" spans="2:16">
      <c r="B123" s="145" t="str">
        <f t="shared" si="14"/>
        <v/>
      </c>
      <c r="C123" s="496">
        <f>IF(D94="","-",+C122+1)</f>
        <v>2041</v>
      </c>
      <c r="D123" s="350">
        <f>IF(F122+SUM(E$100:E122)=D$93,F122,D$93-SUM(E$100:E122))</f>
        <v>1061716.5662337695</v>
      </c>
      <c r="E123" s="510">
        <f t="shared" si="20"/>
        <v>357386.56</v>
      </c>
      <c r="F123" s="511">
        <f t="shared" si="21"/>
        <v>704330.00623376947</v>
      </c>
      <c r="G123" s="511">
        <f t="shared" si="22"/>
        <v>883023.2862337695</v>
      </c>
      <c r="H123" s="646">
        <f t="shared" si="23"/>
        <v>461549.76449044805</v>
      </c>
      <c r="I123" s="628">
        <f t="shared" si="24"/>
        <v>461549.76449044805</v>
      </c>
      <c r="J123" s="505">
        <f t="shared" si="15"/>
        <v>0</v>
      </c>
      <c r="K123" s="505"/>
      <c r="L123" s="513"/>
      <c r="M123" s="505">
        <f t="shared" si="25"/>
        <v>0</v>
      </c>
      <c r="N123" s="513"/>
      <c r="O123" s="505">
        <f t="shared" si="26"/>
        <v>0</v>
      </c>
      <c r="P123" s="505">
        <f t="shared" si="27"/>
        <v>0</v>
      </c>
    </row>
    <row r="124" spans="2:16">
      <c r="B124" s="145" t="str">
        <f t="shared" si="14"/>
        <v/>
      </c>
      <c r="C124" s="496">
        <f>IF(D94="","-",+C123+1)</f>
        <v>2042</v>
      </c>
      <c r="D124" s="350">
        <f>IF(F123+SUM(E$100:E123)=D$93,F123,D$93-SUM(E$100:E123))</f>
        <v>704330.00623376947</v>
      </c>
      <c r="E124" s="510">
        <f t="shared" si="20"/>
        <v>357386.56</v>
      </c>
      <c r="F124" s="511">
        <f t="shared" si="21"/>
        <v>346943.44623376947</v>
      </c>
      <c r="G124" s="511">
        <f t="shared" si="22"/>
        <v>525636.72623376944</v>
      </c>
      <c r="H124" s="646">
        <f t="shared" si="23"/>
        <v>419391.72640495806</v>
      </c>
      <c r="I124" s="628">
        <f t="shared" si="24"/>
        <v>419391.72640495806</v>
      </c>
      <c r="J124" s="505">
        <f t="shared" si="15"/>
        <v>0</v>
      </c>
      <c r="K124" s="505"/>
      <c r="L124" s="513"/>
      <c r="M124" s="505">
        <f t="shared" si="25"/>
        <v>0</v>
      </c>
      <c r="N124" s="513"/>
      <c r="O124" s="505">
        <f t="shared" si="26"/>
        <v>0</v>
      </c>
      <c r="P124" s="505">
        <f t="shared" si="27"/>
        <v>0</v>
      </c>
    </row>
    <row r="125" spans="2:16">
      <c r="B125" s="145" t="str">
        <f t="shared" si="14"/>
        <v/>
      </c>
      <c r="C125" s="496">
        <f>IF(D94="","-",+C124+1)</f>
        <v>2043</v>
      </c>
      <c r="D125" s="350">
        <f>IF(F124+SUM(E$100:E124)=D$93,F124,D$93-SUM(E$100:E124))</f>
        <v>346943.44623376947</v>
      </c>
      <c r="E125" s="510">
        <f t="shared" si="20"/>
        <v>346943.44623376947</v>
      </c>
      <c r="F125" s="511">
        <f t="shared" si="21"/>
        <v>0</v>
      </c>
      <c r="G125" s="511">
        <f t="shared" si="22"/>
        <v>173471.72311688474</v>
      </c>
      <c r="H125" s="646">
        <f t="shared" si="23"/>
        <v>367406.51991487603</v>
      </c>
      <c r="I125" s="628">
        <f t="shared" si="24"/>
        <v>367406.51991487603</v>
      </c>
      <c r="J125" s="505">
        <f t="shared" si="15"/>
        <v>0</v>
      </c>
      <c r="K125" s="505"/>
      <c r="L125" s="513"/>
      <c r="M125" s="505">
        <f t="shared" si="25"/>
        <v>0</v>
      </c>
      <c r="N125" s="513"/>
      <c r="O125" s="505">
        <f t="shared" si="26"/>
        <v>0</v>
      </c>
      <c r="P125" s="505">
        <f t="shared" si="27"/>
        <v>0</v>
      </c>
    </row>
    <row r="126" spans="2:16">
      <c r="B126" s="145" t="str">
        <f t="shared" si="14"/>
        <v/>
      </c>
      <c r="C126" s="496">
        <f>IF(D94="","-",+C125+1)</f>
        <v>2044</v>
      </c>
      <c r="D126" s="350">
        <f>IF(F125+SUM(E$100:E125)=D$93,F125,D$93-SUM(E$100:E125))</f>
        <v>0</v>
      </c>
      <c r="E126" s="510">
        <f t="shared" si="20"/>
        <v>0</v>
      </c>
      <c r="F126" s="511">
        <f t="shared" si="21"/>
        <v>0</v>
      </c>
      <c r="G126" s="511">
        <f t="shared" si="22"/>
        <v>0</v>
      </c>
      <c r="H126" s="646">
        <f t="shared" si="23"/>
        <v>0</v>
      </c>
      <c r="I126" s="628">
        <f t="shared" si="24"/>
        <v>0</v>
      </c>
      <c r="J126" s="505">
        <f t="shared" si="15"/>
        <v>0</v>
      </c>
      <c r="K126" s="505"/>
      <c r="L126" s="513"/>
      <c r="M126" s="505">
        <f t="shared" si="25"/>
        <v>0</v>
      </c>
      <c r="N126" s="513"/>
      <c r="O126" s="505">
        <f t="shared" si="26"/>
        <v>0</v>
      </c>
      <c r="P126" s="505">
        <f t="shared" si="27"/>
        <v>0</v>
      </c>
    </row>
    <row r="127" spans="2:16">
      <c r="B127" s="145" t="str">
        <f t="shared" si="14"/>
        <v/>
      </c>
      <c r="C127" s="496">
        <f>IF(D94="","-",+C126+1)</f>
        <v>2045</v>
      </c>
      <c r="D127" s="350">
        <f>IF(F126+SUM(E$100:E126)=D$93,F126,D$93-SUM(E$100:E126))</f>
        <v>0</v>
      </c>
      <c r="E127" s="510">
        <f t="shared" si="20"/>
        <v>0</v>
      </c>
      <c r="F127" s="511">
        <f t="shared" si="21"/>
        <v>0</v>
      </c>
      <c r="G127" s="511">
        <f t="shared" si="22"/>
        <v>0</v>
      </c>
      <c r="H127" s="646">
        <f t="shared" si="23"/>
        <v>0</v>
      </c>
      <c r="I127" s="628">
        <f t="shared" si="24"/>
        <v>0</v>
      </c>
      <c r="J127" s="505">
        <f t="shared" si="15"/>
        <v>0</v>
      </c>
      <c r="K127" s="505"/>
      <c r="L127" s="513"/>
      <c r="M127" s="505">
        <f t="shared" si="25"/>
        <v>0</v>
      </c>
      <c r="N127" s="513"/>
      <c r="O127" s="505">
        <f t="shared" si="26"/>
        <v>0</v>
      </c>
      <c r="P127" s="505">
        <f t="shared" si="27"/>
        <v>0</v>
      </c>
    </row>
    <row r="128" spans="2:16">
      <c r="B128" s="145" t="str">
        <f t="shared" si="14"/>
        <v/>
      </c>
      <c r="C128" s="496">
        <f>IF(D94="","-",+C127+1)</f>
        <v>2046</v>
      </c>
      <c r="D128" s="350">
        <f>IF(F127+SUM(E$100:E127)=D$93,F127,D$93-SUM(E$100:E127))</f>
        <v>0</v>
      </c>
      <c r="E128" s="510">
        <f t="shared" si="20"/>
        <v>0</v>
      </c>
      <c r="F128" s="511">
        <f t="shared" si="21"/>
        <v>0</v>
      </c>
      <c r="G128" s="511">
        <f t="shared" si="22"/>
        <v>0</v>
      </c>
      <c r="H128" s="646">
        <f t="shared" si="23"/>
        <v>0</v>
      </c>
      <c r="I128" s="628">
        <f t="shared" si="24"/>
        <v>0</v>
      </c>
      <c r="J128" s="505">
        <f t="shared" si="15"/>
        <v>0</v>
      </c>
      <c r="K128" s="505"/>
      <c r="L128" s="513"/>
      <c r="M128" s="505">
        <f t="shared" si="25"/>
        <v>0</v>
      </c>
      <c r="N128" s="513"/>
      <c r="O128" s="505">
        <f t="shared" si="26"/>
        <v>0</v>
      </c>
      <c r="P128" s="505">
        <f t="shared" si="27"/>
        <v>0</v>
      </c>
    </row>
    <row r="129" spans="2:16">
      <c r="B129" s="145" t="str">
        <f t="shared" si="14"/>
        <v/>
      </c>
      <c r="C129" s="496">
        <f>IF(D94="","-",+C128+1)</f>
        <v>2047</v>
      </c>
      <c r="D129" s="350">
        <f>IF(F128+SUM(E$100:E128)=D$93,F128,D$93-SUM(E$100:E128))</f>
        <v>0</v>
      </c>
      <c r="E129" s="510">
        <f t="shared" si="20"/>
        <v>0</v>
      </c>
      <c r="F129" s="511">
        <f t="shared" si="21"/>
        <v>0</v>
      </c>
      <c r="G129" s="511">
        <f t="shared" si="22"/>
        <v>0</v>
      </c>
      <c r="H129" s="646">
        <f t="shared" si="23"/>
        <v>0</v>
      </c>
      <c r="I129" s="628">
        <f t="shared" si="24"/>
        <v>0</v>
      </c>
      <c r="J129" s="505">
        <f t="shared" si="15"/>
        <v>0</v>
      </c>
      <c r="K129" s="505"/>
      <c r="L129" s="513"/>
      <c r="M129" s="505">
        <f t="shared" si="25"/>
        <v>0</v>
      </c>
      <c r="N129" s="513"/>
      <c r="O129" s="505">
        <f t="shared" si="26"/>
        <v>0</v>
      </c>
      <c r="P129" s="505">
        <f t="shared" si="27"/>
        <v>0</v>
      </c>
    </row>
    <row r="130" spans="2:16">
      <c r="B130" s="145" t="str">
        <f t="shared" si="14"/>
        <v/>
      </c>
      <c r="C130" s="496">
        <f>IF(D94="","-",+C129+1)</f>
        <v>2048</v>
      </c>
      <c r="D130" s="350">
        <f>IF(F129+SUM(E$100:E129)=D$93,F129,D$93-SUM(E$100:E129))</f>
        <v>0</v>
      </c>
      <c r="E130" s="510">
        <f t="shared" si="20"/>
        <v>0</v>
      </c>
      <c r="F130" s="511">
        <f t="shared" si="21"/>
        <v>0</v>
      </c>
      <c r="G130" s="511">
        <f t="shared" si="22"/>
        <v>0</v>
      </c>
      <c r="H130" s="646">
        <f t="shared" si="23"/>
        <v>0</v>
      </c>
      <c r="I130" s="628">
        <f t="shared" si="24"/>
        <v>0</v>
      </c>
      <c r="J130" s="505">
        <f t="shared" si="15"/>
        <v>0</v>
      </c>
      <c r="K130" s="505"/>
      <c r="L130" s="513"/>
      <c r="M130" s="505">
        <f t="shared" si="25"/>
        <v>0</v>
      </c>
      <c r="N130" s="513"/>
      <c r="O130" s="505">
        <f t="shared" si="26"/>
        <v>0</v>
      </c>
      <c r="P130" s="505">
        <f t="shared" si="27"/>
        <v>0</v>
      </c>
    </row>
    <row r="131" spans="2:16">
      <c r="B131" s="145" t="str">
        <f t="shared" si="14"/>
        <v/>
      </c>
      <c r="C131" s="496">
        <f>IF(D94="","-",+C130+1)</f>
        <v>2049</v>
      </c>
      <c r="D131" s="350">
        <f>IF(F130+SUM(E$100:E130)=D$93,F130,D$93-SUM(E$100:E130))</f>
        <v>0</v>
      </c>
      <c r="E131" s="510">
        <f t="shared" si="20"/>
        <v>0</v>
      </c>
      <c r="F131" s="511">
        <f t="shared" si="21"/>
        <v>0</v>
      </c>
      <c r="G131" s="511">
        <f t="shared" si="22"/>
        <v>0</v>
      </c>
      <c r="H131" s="646">
        <f t="shared" si="23"/>
        <v>0</v>
      </c>
      <c r="I131" s="628">
        <f t="shared" si="24"/>
        <v>0</v>
      </c>
      <c r="J131" s="505">
        <f t="shared" si="15"/>
        <v>0</v>
      </c>
      <c r="K131" s="505"/>
      <c r="L131" s="513"/>
      <c r="M131" s="505">
        <f t="shared" si="25"/>
        <v>0</v>
      </c>
      <c r="N131" s="513"/>
      <c r="O131" s="505">
        <f t="shared" si="26"/>
        <v>0</v>
      </c>
      <c r="P131" s="505">
        <f t="shared" si="27"/>
        <v>0</v>
      </c>
    </row>
    <row r="132" spans="2:16">
      <c r="B132" s="145" t="str">
        <f t="shared" si="14"/>
        <v/>
      </c>
      <c r="C132" s="496">
        <f>IF(D94="","-",+C131+1)</f>
        <v>2050</v>
      </c>
      <c r="D132" s="350">
        <f>IF(F131+SUM(E$100:E131)=D$93,F131,D$93-SUM(E$100:E131))</f>
        <v>0</v>
      </c>
      <c r="E132" s="510">
        <f t="shared" si="20"/>
        <v>0</v>
      </c>
      <c r="F132" s="511">
        <f t="shared" si="21"/>
        <v>0</v>
      </c>
      <c r="G132" s="511">
        <f t="shared" si="22"/>
        <v>0</v>
      </c>
      <c r="H132" s="646">
        <f t="shared" si="23"/>
        <v>0</v>
      </c>
      <c r="I132" s="628">
        <f t="shared" si="24"/>
        <v>0</v>
      </c>
      <c r="J132" s="505">
        <f t="shared" ref="J132:J155" si="28">+I542-H542</f>
        <v>0</v>
      </c>
      <c r="K132" s="505"/>
      <c r="L132" s="513"/>
      <c r="M132" s="505">
        <f t="shared" ref="M132:M155" si="29">IF(L542&lt;&gt;0,+H542-L542,0)</f>
        <v>0</v>
      </c>
      <c r="N132" s="513"/>
      <c r="O132" s="505">
        <f t="shared" ref="O132:O155" si="30">IF(N542&lt;&gt;0,+I542-N542,0)</f>
        <v>0</v>
      </c>
      <c r="P132" s="505">
        <f t="shared" ref="P132:P155" si="31">+O542-M542</f>
        <v>0</v>
      </c>
    </row>
    <row r="133" spans="2:16">
      <c r="B133" s="145" t="str">
        <f t="shared" si="14"/>
        <v/>
      </c>
      <c r="C133" s="496">
        <f>IF(D94="","-",+C132+1)</f>
        <v>2051</v>
      </c>
      <c r="D133" s="350">
        <f>IF(F132+SUM(E$100:E132)=D$93,F132,D$93-SUM(E$100:E132))</f>
        <v>0</v>
      </c>
      <c r="E133" s="510">
        <f t="shared" si="20"/>
        <v>0</v>
      </c>
      <c r="F133" s="511">
        <f t="shared" si="21"/>
        <v>0</v>
      </c>
      <c r="G133" s="511">
        <f t="shared" si="22"/>
        <v>0</v>
      </c>
      <c r="H133" s="646">
        <f t="shared" si="23"/>
        <v>0</v>
      </c>
      <c r="I133" s="628">
        <f t="shared" si="24"/>
        <v>0</v>
      </c>
      <c r="J133" s="505">
        <f t="shared" si="28"/>
        <v>0</v>
      </c>
      <c r="K133" s="505"/>
      <c r="L133" s="513"/>
      <c r="M133" s="505">
        <f t="shared" si="29"/>
        <v>0</v>
      </c>
      <c r="N133" s="513"/>
      <c r="O133" s="505">
        <f t="shared" si="30"/>
        <v>0</v>
      </c>
      <c r="P133" s="505">
        <f t="shared" si="31"/>
        <v>0</v>
      </c>
    </row>
    <row r="134" spans="2:16">
      <c r="B134" s="145" t="str">
        <f t="shared" si="14"/>
        <v/>
      </c>
      <c r="C134" s="496">
        <f>IF(D94="","-",+C133+1)</f>
        <v>2052</v>
      </c>
      <c r="D134" s="350">
        <f>IF(F133+SUM(E$100:E133)=D$93,F133,D$93-SUM(E$100:E133))</f>
        <v>0</v>
      </c>
      <c r="E134" s="510">
        <f t="shared" si="20"/>
        <v>0</v>
      </c>
      <c r="F134" s="511">
        <f t="shared" si="21"/>
        <v>0</v>
      </c>
      <c r="G134" s="511">
        <f t="shared" si="22"/>
        <v>0</v>
      </c>
      <c r="H134" s="646">
        <f t="shared" si="23"/>
        <v>0</v>
      </c>
      <c r="I134" s="628">
        <f t="shared" si="24"/>
        <v>0</v>
      </c>
      <c r="J134" s="505">
        <f t="shared" si="28"/>
        <v>0</v>
      </c>
      <c r="K134" s="505"/>
      <c r="L134" s="513"/>
      <c r="M134" s="505">
        <f t="shared" si="29"/>
        <v>0</v>
      </c>
      <c r="N134" s="513"/>
      <c r="O134" s="505">
        <f t="shared" si="30"/>
        <v>0</v>
      </c>
      <c r="P134" s="505">
        <f t="shared" si="31"/>
        <v>0</v>
      </c>
    </row>
    <row r="135" spans="2:16">
      <c r="B135" s="145" t="str">
        <f t="shared" si="14"/>
        <v/>
      </c>
      <c r="C135" s="496">
        <f>IF(D94="","-",+C134+1)</f>
        <v>2053</v>
      </c>
      <c r="D135" s="350">
        <f>IF(F134+SUM(E$100:E134)=D$93,F134,D$93-SUM(E$100:E134))</f>
        <v>0</v>
      </c>
      <c r="E135" s="510">
        <f t="shared" si="20"/>
        <v>0</v>
      </c>
      <c r="F135" s="511">
        <f t="shared" si="21"/>
        <v>0</v>
      </c>
      <c r="G135" s="511">
        <f t="shared" si="22"/>
        <v>0</v>
      </c>
      <c r="H135" s="646">
        <f t="shared" si="23"/>
        <v>0</v>
      </c>
      <c r="I135" s="628">
        <f t="shared" si="24"/>
        <v>0</v>
      </c>
      <c r="J135" s="505">
        <f t="shared" si="28"/>
        <v>0</v>
      </c>
      <c r="K135" s="505"/>
      <c r="L135" s="513"/>
      <c r="M135" s="505">
        <f t="shared" si="29"/>
        <v>0</v>
      </c>
      <c r="N135" s="513"/>
      <c r="O135" s="505">
        <f t="shared" si="30"/>
        <v>0</v>
      </c>
      <c r="P135" s="505">
        <f t="shared" si="31"/>
        <v>0</v>
      </c>
    </row>
    <row r="136" spans="2:16">
      <c r="B136" s="145" t="str">
        <f t="shared" si="14"/>
        <v/>
      </c>
      <c r="C136" s="496">
        <f>IF(D94="","-",+C135+1)</f>
        <v>2054</v>
      </c>
      <c r="D136" s="350">
        <f>IF(F135+SUM(E$100:E135)=D$93,F135,D$93-SUM(E$100:E135))</f>
        <v>0</v>
      </c>
      <c r="E136" s="510">
        <f t="shared" si="20"/>
        <v>0</v>
      </c>
      <c r="F136" s="511">
        <f t="shared" si="21"/>
        <v>0</v>
      </c>
      <c r="G136" s="511">
        <f t="shared" si="22"/>
        <v>0</v>
      </c>
      <c r="H136" s="646">
        <f t="shared" si="23"/>
        <v>0</v>
      </c>
      <c r="I136" s="628">
        <f t="shared" si="24"/>
        <v>0</v>
      </c>
      <c r="J136" s="505">
        <f t="shared" si="28"/>
        <v>0</v>
      </c>
      <c r="K136" s="505"/>
      <c r="L136" s="513"/>
      <c r="M136" s="505">
        <f t="shared" si="29"/>
        <v>0</v>
      </c>
      <c r="N136" s="513"/>
      <c r="O136" s="505">
        <f t="shared" si="30"/>
        <v>0</v>
      </c>
      <c r="P136" s="505">
        <f t="shared" si="31"/>
        <v>0</v>
      </c>
    </row>
    <row r="137" spans="2:16">
      <c r="B137" s="145" t="str">
        <f t="shared" si="14"/>
        <v/>
      </c>
      <c r="C137" s="496">
        <f>IF(D94="","-",+C136+1)</f>
        <v>2055</v>
      </c>
      <c r="D137" s="350">
        <f>IF(F136+SUM(E$100:E136)=D$93,F136,D$93-SUM(E$100:E136))</f>
        <v>0</v>
      </c>
      <c r="E137" s="510">
        <f t="shared" si="20"/>
        <v>0</v>
      </c>
      <c r="F137" s="511">
        <f t="shared" si="21"/>
        <v>0</v>
      </c>
      <c r="G137" s="511">
        <f t="shared" si="22"/>
        <v>0</v>
      </c>
      <c r="H137" s="646">
        <f t="shared" si="23"/>
        <v>0</v>
      </c>
      <c r="I137" s="628">
        <f t="shared" si="24"/>
        <v>0</v>
      </c>
      <c r="J137" s="505">
        <f t="shared" si="28"/>
        <v>0</v>
      </c>
      <c r="K137" s="505"/>
      <c r="L137" s="513"/>
      <c r="M137" s="505">
        <f t="shared" si="29"/>
        <v>0</v>
      </c>
      <c r="N137" s="513"/>
      <c r="O137" s="505">
        <f t="shared" si="30"/>
        <v>0</v>
      </c>
      <c r="P137" s="505">
        <f t="shared" si="31"/>
        <v>0</v>
      </c>
    </row>
    <row r="138" spans="2:16">
      <c r="B138" s="145" t="str">
        <f t="shared" si="14"/>
        <v/>
      </c>
      <c r="C138" s="496">
        <f>IF(D94="","-",+C137+1)</f>
        <v>2056</v>
      </c>
      <c r="D138" s="350">
        <f>IF(F137+SUM(E$100:E137)=D$93,F137,D$93-SUM(E$100:E137))</f>
        <v>0</v>
      </c>
      <c r="E138" s="510">
        <f t="shared" si="20"/>
        <v>0</v>
      </c>
      <c r="F138" s="511">
        <f t="shared" si="21"/>
        <v>0</v>
      </c>
      <c r="G138" s="511">
        <f t="shared" si="22"/>
        <v>0</v>
      </c>
      <c r="H138" s="646">
        <f t="shared" si="23"/>
        <v>0</v>
      </c>
      <c r="I138" s="628">
        <f t="shared" si="24"/>
        <v>0</v>
      </c>
      <c r="J138" s="505">
        <f t="shared" si="28"/>
        <v>0</v>
      </c>
      <c r="K138" s="505"/>
      <c r="L138" s="513"/>
      <c r="M138" s="505">
        <f t="shared" si="29"/>
        <v>0</v>
      </c>
      <c r="N138" s="513"/>
      <c r="O138" s="505">
        <f t="shared" si="30"/>
        <v>0</v>
      </c>
      <c r="P138" s="505">
        <f t="shared" si="31"/>
        <v>0</v>
      </c>
    </row>
    <row r="139" spans="2:16">
      <c r="B139" s="145" t="str">
        <f t="shared" si="14"/>
        <v/>
      </c>
      <c r="C139" s="496">
        <f>IF(D94="","-",+C138+1)</f>
        <v>2057</v>
      </c>
      <c r="D139" s="350">
        <f>IF(F138+SUM(E$100:E138)=D$93,F138,D$93-SUM(E$100:E138))</f>
        <v>0</v>
      </c>
      <c r="E139" s="510">
        <f t="shared" si="20"/>
        <v>0</v>
      </c>
      <c r="F139" s="511">
        <f t="shared" si="21"/>
        <v>0</v>
      </c>
      <c r="G139" s="511">
        <f t="shared" si="22"/>
        <v>0</v>
      </c>
      <c r="H139" s="646">
        <f t="shared" si="23"/>
        <v>0</v>
      </c>
      <c r="I139" s="628">
        <f t="shared" si="24"/>
        <v>0</v>
      </c>
      <c r="J139" s="505">
        <f t="shared" si="28"/>
        <v>0</v>
      </c>
      <c r="K139" s="505"/>
      <c r="L139" s="513"/>
      <c r="M139" s="505">
        <f t="shared" si="29"/>
        <v>0</v>
      </c>
      <c r="N139" s="513"/>
      <c r="O139" s="505">
        <f t="shared" si="30"/>
        <v>0</v>
      </c>
      <c r="P139" s="505">
        <f t="shared" si="31"/>
        <v>0</v>
      </c>
    </row>
    <row r="140" spans="2:16">
      <c r="B140" s="145" t="str">
        <f t="shared" si="14"/>
        <v/>
      </c>
      <c r="C140" s="496">
        <f>IF(D94="","-",+C139+1)</f>
        <v>2058</v>
      </c>
      <c r="D140" s="350">
        <f>IF(F139+SUM(E$100:E139)=D$93,F139,D$93-SUM(E$100:E139))</f>
        <v>0</v>
      </c>
      <c r="E140" s="510">
        <f t="shared" si="20"/>
        <v>0</v>
      </c>
      <c r="F140" s="511">
        <f t="shared" si="21"/>
        <v>0</v>
      </c>
      <c r="G140" s="511">
        <f t="shared" si="22"/>
        <v>0</v>
      </c>
      <c r="H140" s="646">
        <f t="shared" si="23"/>
        <v>0</v>
      </c>
      <c r="I140" s="628">
        <f t="shared" si="24"/>
        <v>0</v>
      </c>
      <c r="J140" s="505">
        <f t="shared" si="28"/>
        <v>0</v>
      </c>
      <c r="K140" s="505"/>
      <c r="L140" s="513"/>
      <c r="M140" s="505">
        <f t="shared" si="29"/>
        <v>0</v>
      </c>
      <c r="N140" s="513"/>
      <c r="O140" s="505">
        <f t="shared" si="30"/>
        <v>0</v>
      </c>
      <c r="P140" s="505">
        <f t="shared" si="31"/>
        <v>0</v>
      </c>
    </row>
    <row r="141" spans="2:16">
      <c r="B141" s="145" t="str">
        <f t="shared" si="14"/>
        <v/>
      </c>
      <c r="C141" s="496">
        <f>IF(D94="","-",+C140+1)</f>
        <v>2059</v>
      </c>
      <c r="D141" s="350">
        <f>IF(F140+SUM(E$100:E140)=D$93,F140,D$93-SUM(E$100:E140))</f>
        <v>0</v>
      </c>
      <c r="E141" s="510">
        <f t="shared" si="20"/>
        <v>0</v>
      </c>
      <c r="F141" s="511">
        <f t="shared" si="21"/>
        <v>0</v>
      </c>
      <c r="G141" s="511">
        <f t="shared" si="22"/>
        <v>0</v>
      </c>
      <c r="H141" s="646">
        <f t="shared" si="23"/>
        <v>0</v>
      </c>
      <c r="I141" s="628">
        <f t="shared" si="24"/>
        <v>0</v>
      </c>
      <c r="J141" s="505">
        <f t="shared" si="28"/>
        <v>0</v>
      </c>
      <c r="K141" s="505"/>
      <c r="L141" s="513"/>
      <c r="M141" s="505">
        <f t="shared" si="29"/>
        <v>0</v>
      </c>
      <c r="N141" s="513"/>
      <c r="O141" s="505">
        <f t="shared" si="30"/>
        <v>0</v>
      </c>
      <c r="P141" s="505">
        <f t="shared" si="31"/>
        <v>0</v>
      </c>
    </row>
    <row r="142" spans="2:16">
      <c r="B142" s="145" t="str">
        <f t="shared" si="14"/>
        <v/>
      </c>
      <c r="C142" s="496">
        <f>IF(D94="","-",+C141+1)</f>
        <v>2060</v>
      </c>
      <c r="D142" s="350">
        <f>IF(F141+SUM(E$100:E141)=D$93,F141,D$93-SUM(E$100:E141))</f>
        <v>0</v>
      </c>
      <c r="E142" s="510">
        <f t="shared" si="20"/>
        <v>0</v>
      </c>
      <c r="F142" s="511">
        <f t="shared" si="21"/>
        <v>0</v>
      </c>
      <c r="G142" s="511">
        <f t="shared" si="22"/>
        <v>0</v>
      </c>
      <c r="H142" s="646">
        <f t="shared" si="23"/>
        <v>0</v>
      </c>
      <c r="I142" s="628">
        <f t="shared" si="24"/>
        <v>0</v>
      </c>
      <c r="J142" s="505">
        <f t="shared" si="28"/>
        <v>0</v>
      </c>
      <c r="K142" s="505"/>
      <c r="L142" s="513"/>
      <c r="M142" s="505">
        <f t="shared" si="29"/>
        <v>0</v>
      </c>
      <c r="N142" s="513"/>
      <c r="O142" s="505">
        <f t="shared" si="30"/>
        <v>0</v>
      </c>
      <c r="P142" s="505">
        <f t="shared" si="31"/>
        <v>0</v>
      </c>
    </row>
    <row r="143" spans="2:16">
      <c r="B143" s="145" t="str">
        <f t="shared" si="14"/>
        <v/>
      </c>
      <c r="C143" s="496">
        <f>IF(D94="","-",+C142+1)</f>
        <v>2061</v>
      </c>
      <c r="D143" s="350">
        <f>IF(F142+SUM(E$100:E142)=D$93,F142,D$93-SUM(E$100:E142))</f>
        <v>0</v>
      </c>
      <c r="E143" s="510">
        <f t="shared" si="20"/>
        <v>0</v>
      </c>
      <c r="F143" s="511">
        <f t="shared" si="21"/>
        <v>0</v>
      </c>
      <c r="G143" s="511">
        <f t="shared" si="22"/>
        <v>0</v>
      </c>
      <c r="H143" s="646">
        <f t="shared" si="23"/>
        <v>0</v>
      </c>
      <c r="I143" s="628">
        <f t="shared" si="24"/>
        <v>0</v>
      </c>
      <c r="J143" s="505">
        <f t="shared" si="28"/>
        <v>0</v>
      </c>
      <c r="K143" s="505"/>
      <c r="L143" s="513"/>
      <c r="M143" s="505">
        <f t="shared" si="29"/>
        <v>0</v>
      </c>
      <c r="N143" s="513"/>
      <c r="O143" s="505">
        <f t="shared" si="30"/>
        <v>0</v>
      </c>
      <c r="P143" s="505">
        <f t="shared" si="31"/>
        <v>0</v>
      </c>
    </row>
    <row r="144" spans="2:16">
      <c r="B144" s="145" t="str">
        <f t="shared" si="14"/>
        <v/>
      </c>
      <c r="C144" s="496">
        <f>IF(D94="","-",+C143+1)</f>
        <v>2062</v>
      </c>
      <c r="D144" s="350">
        <f>IF(F143+SUM(E$100:E143)=D$93,F143,D$93-SUM(E$100:E143))</f>
        <v>0</v>
      </c>
      <c r="E144" s="510">
        <f t="shared" si="20"/>
        <v>0</v>
      </c>
      <c r="F144" s="511">
        <f t="shared" si="21"/>
        <v>0</v>
      </c>
      <c r="G144" s="511">
        <f t="shared" si="22"/>
        <v>0</v>
      </c>
      <c r="H144" s="646">
        <f t="shared" si="23"/>
        <v>0</v>
      </c>
      <c r="I144" s="628">
        <f t="shared" si="24"/>
        <v>0</v>
      </c>
      <c r="J144" s="505">
        <f t="shared" si="28"/>
        <v>0</v>
      </c>
      <c r="K144" s="505"/>
      <c r="L144" s="513"/>
      <c r="M144" s="505">
        <f t="shared" si="29"/>
        <v>0</v>
      </c>
      <c r="N144" s="513"/>
      <c r="O144" s="505">
        <f t="shared" si="30"/>
        <v>0</v>
      </c>
      <c r="P144" s="505">
        <f t="shared" si="31"/>
        <v>0</v>
      </c>
    </row>
    <row r="145" spans="2:16">
      <c r="B145" s="145" t="str">
        <f t="shared" si="14"/>
        <v/>
      </c>
      <c r="C145" s="496">
        <f>IF(D94="","-",+C144+1)</f>
        <v>2063</v>
      </c>
      <c r="D145" s="350">
        <f>IF(F144+SUM(E$100:E144)=D$93,F144,D$93-SUM(E$100:E144))</f>
        <v>0</v>
      </c>
      <c r="E145" s="510">
        <f t="shared" si="20"/>
        <v>0</v>
      </c>
      <c r="F145" s="511">
        <f t="shared" si="21"/>
        <v>0</v>
      </c>
      <c r="G145" s="511">
        <f t="shared" si="22"/>
        <v>0</v>
      </c>
      <c r="H145" s="646">
        <f t="shared" si="23"/>
        <v>0</v>
      </c>
      <c r="I145" s="628">
        <f t="shared" si="24"/>
        <v>0</v>
      </c>
      <c r="J145" s="505">
        <f t="shared" si="28"/>
        <v>0</v>
      </c>
      <c r="K145" s="505"/>
      <c r="L145" s="513"/>
      <c r="M145" s="505">
        <f t="shared" si="29"/>
        <v>0</v>
      </c>
      <c r="N145" s="513"/>
      <c r="O145" s="505">
        <f t="shared" si="30"/>
        <v>0</v>
      </c>
      <c r="P145" s="505">
        <f t="shared" si="31"/>
        <v>0</v>
      </c>
    </row>
    <row r="146" spans="2:16">
      <c r="B146" s="145" t="str">
        <f t="shared" si="14"/>
        <v/>
      </c>
      <c r="C146" s="496">
        <f>IF(D94="","-",+C145+1)</f>
        <v>2064</v>
      </c>
      <c r="D146" s="350">
        <f>IF(F145+SUM(E$100:E145)=D$93,F145,D$93-SUM(E$100:E145))</f>
        <v>0</v>
      </c>
      <c r="E146" s="510">
        <f t="shared" si="20"/>
        <v>0</v>
      </c>
      <c r="F146" s="511">
        <f t="shared" si="21"/>
        <v>0</v>
      </c>
      <c r="G146" s="511">
        <f t="shared" si="22"/>
        <v>0</v>
      </c>
      <c r="H146" s="646">
        <f t="shared" si="23"/>
        <v>0</v>
      </c>
      <c r="I146" s="628">
        <f t="shared" si="24"/>
        <v>0</v>
      </c>
      <c r="J146" s="505">
        <f t="shared" si="28"/>
        <v>0</v>
      </c>
      <c r="K146" s="505"/>
      <c r="L146" s="513"/>
      <c r="M146" s="505">
        <f t="shared" si="29"/>
        <v>0</v>
      </c>
      <c r="N146" s="513"/>
      <c r="O146" s="505">
        <f t="shared" si="30"/>
        <v>0</v>
      </c>
      <c r="P146" s="505">
        <f t="shared" si="31"/>
        <v>0</v>
      </c>
    </row>
    <row r="147" spans="2:16">
      <c r="B147" s="145" t="str">
        <f t="shared" si="14"/>
        <v/>
      </c>
      <c r="C147" s="496">
        <f>IF(D94="","-",+C146+1)</f>
        <v>2065</v>
      </c>
      <c r="D147" s="350">
        <f>IF(F146+SUM(E$100:E146)=D$93,F146,D$93-SUM(E$100:E146))</f>
        <v>0</v>
      </c>
      <c r="E147" s="510">
        <f t="shared" si="20"/>
        <v>0</v>
      </c>
      <c r="F147" s="511">
        <f t="shared" si="21"/>
        <v>0</v>
      </c>
      <c r="G147" s="511">
        <f t="shared" si="22"/>
        <v>0</v>
      </c>
      <c r="H147" s="646">
        <f t="shared" si="23"/>
        <v>0</v>
      </c>
      <c r="I147" s="628">
        <f t="shared" si="24"/>
        <v>0</v>
      </c>
      <c r="J147" s="505">
        <f t="shared" si="28"/>
        <v>0</v>
      </c>
      <c r="K147" s="505"/>
      <c r="L147" s="513"/>
      <c r="M147" s="505">
        <f t="shared" si="29"/>
        <v>0</v>
      </c>
      <c r="N147" s="513"/>
      <c r="O147" s="505">
        <f t="shared" si="30"/>
        <v>0</v>
      </c>
      <c r="P147" s="505">
        <f t="shared" si="31"/>
        <v>0</v>
      </c>
    </row>
    <row r="148" spans="2:16">
      <c r="B148" s="145" t="str">
        <f t="shared" si="14"/>
        <v/>
      </c>
      <c r="C148" s="496">
        <f>IF(D94="","-",+C147+1)</f>
        <v>2066</v>
      </c>
      <c r="D148" s="350">
        <f>IF(F147+SUM(E$100:E147)=D$93,F147,D$93-SUM(E$100:E147))</f>
        <v>0</v>
      </c>
      <c r="E148" s="510">
        <f t="shared" si="20"/>
        <v>0</v>
      </c>
      <c r="F148" s="511">
        <f t="shared" si="21"/>
        <v>0</v>
      </c>
      <c r="G148" s="511">
        <f t="shared" si="22"/>
        <v>0</v>
      </c>
      <c r="H148" s="646">
        <f t="shared" si="23"/>
        <v>0</v>
      </c>
      <c r="I148" s="628">
        <f t="shared" si="24"/>
        <v>0</v>
      </c>
      <c r="J148" s="505">
        <f t="shared" si="28"/>
        <v>0</v>
      </c>
      <c r="K148" s="505"/>
      <c r="L148" s="513"/>
      <c r="M148" s="505">
        <f t="shared" si="29"/>
        <v>0</v>
      </c>
      <c r="N148" s="513"/>
      <c r="O148" s="505">
        <f t="shared" si="30"/>
        <v>0</v>
      </c>
      <c r="P148" s="505">
        <f t="shared" si="31"/>
        <v>0</v>
      </c>
    </row>
    <row r="149" spans="2:16">
      <c r="B149" s="145" t="str">
        <f t="shared" si="14"/>
        <v/>
      </c>
      <c r="C149" s="496">
        <f>IF(D94="","-",+C148+1)</f>
        <v>2067</v>
      </c>
      <c r="D149" s="350">
        <f>IF(F148+SUM(E$100:E148)=D$93,F148,D$93-SUM(E$100:E148))</f>
        <v>0</v>
      </c>
      <c r="E149" s="510">
        <f t="shared" si="20"/>
        <v>0</v>
      </c>
      <c r="F149" s="511">
        <f t="shared" si="21"/>
        <v>0</v>
      </c>
      <c r="G149" s="511">
        <f t="shared" si="22"/>
        <v>0</v>
      </c>
      <c r="H149" s="646">
        <f t="shared" si="23"/>
        <v>0</v>
      </c>
      <c r="I149" s="628">
        <f t="shared" si="24"/>
        <v>0</v>
      </c>
      <c r="J149" s="505">
        <f t="shared" si="28"/>
        <v>0</v>
      </c>
      <c r="K149" s="505"/>
      <c r="L149" s="513"/>
      <c r="M149" s="505">
        <f t="shared" si="29"/>
        <v>0</v>
      </c>
      <c r="N149" s="513"/>
      <c r="O149" s="505">
        <f t="shared" si="30"/>
        <v>0</v>
      </c>
      <c r="P149" s="505">
        <f t="shared" si="31"/>
        <v>0</v>
      </c>
    </row>
    <row r="150" spans="2:16">
      <c r="B150" s="145" t="str">
        <f t="shared" si="14"/>
        <v/>
      </c>
      <c r="C150" s="496">
        <f>IF(D94="","-",+C149+1)</f>
        <v>2068</v>
      </c>
      <c r="D150" s="350">
        <f>IF(F149+SUM(E$100:E149)=D$93,F149,D$93-SUM(E$100:E149))</f>
        <v>0</v>
      </c>
      <c r="E150" s="510">
        <f t="shared" si="20"/>
        <v>0</v>
      </c>
      <c r="F150" s="511">
        <f t="shared" si="21"/>
        <v>0</v>
      </c>
      <c r="G150" s="511">
        <f t="shared" si="22"/>
        <v>0</v>
      </c>
      <c r="H150" s="646">
        <f t="shared" si="23"/>
        <v>0</v>
      </c>
      <c r="I150" s="628">
        <f t="shared" si="24"/>
        <v>0</v>
      </c>
      <c r="J150" s="505">
        <f t="shared" si="28"/>
        <v>0</v>
      </c>
      <c r="K150" s="505"/>
      <c r="L150" s="513"/>
      <c r="M150" s="505">
        <f t="shared" si="29"/>
        <v>0</v>
      </c>
      <c r="N150" s="513"/>
      <c r="O150" s="505">
        <f t="shared" si="30"/>
        <v>0</v>
      </c>
      <c r="P150" s="505">
        <f t="shared" si="31"/>
        <v>0</v>
      </c>
    </row>
    <row r="151" spans="2:16">
      <c r="B151" s="145" t="str">
        <f t="shared" si="14"/>
        <v/>
      </c>
      <c r="C151" s="496">
        <f>IF(D94="","-",+C150+1)</f>
        <v>2069</v>
      </c>
      <c r="D151" s="350">
        <f>IF(F150+SUM(E$100:E150)=D$93,F150,D$93-SUM(E$100:E150))</f>
        <v>0</v>
      </c>
      <c r="E151" s="510">
        <f t="shared" si="20"/>
        <v>0</v>
      </c>
      <c r="F151" s="511">
        <f t="shared" si="21"/>
        <v>0</v>
      </c>
      <c r="G151" s="511">
        <f t="shared" si="22"/>
        <v>0</v>
      </c>
      <c r="H151" s="646">
        <f t="shared" si="23"/>
        <v>0</v>
      </c>
      <c r="I151" s="628">
        <f t="shared" si="24"/>
        <v>0</v>
      </c>
      <c r="J151" s="505">
        <f t="shared" si="28"/>
        <v>0</v>
      </c>
      <c r="K151" s="505"/>
      <c r="L151" s="513"/>
      <c r="M151" s="505">
        <f t="shared" si="29"/>
        <v>0</v>
      </c>
      <c r="N151" s="513"/>
      <c r="O151" s="505">
        <f t="shared" si="30"/>
        <v>0</v>
      </c>
      <c r="P151" s="505">
        <f t="shared" si="31"/>
        <v>0</v>
      </c>
    </row>
    <row r="152" spans="2:16">
      <c r="B152" s="145" t="str">
        <f t="shared" si="14"/>
        <v/>
      </c>
      <c r="C152" s="496">
        <f>IF(D94="","-",+C151+1)</f>
        <v>2070</v>
      </c>
      <c r="D152" s="350">
        <f>IF(F151+SUM(E$100:E151)=D$93,F151,D$93-SUM(E$100:E151))</f>
        <v>0</v>
      </c>
      <c r="E152" s="510">
        <f t="shared" si="20"/>
        <v>0</v>
      </c>
      <c r="F152" s="511">
        <f t="shared" si="21"/>
        <v>0</v>
      </c>
      <c r="G152" s="511">
        <f t="shared" si="22"/>
        <v>0</v>
      </c>
      <c r="H152" s="646">
        <f t="shared" si="23"/>
        <v>0</v>
      </c>
      <c r="I152" s="628">
        <f t="shared" si="24"/>
        <v>0</v>
      </c>
      <c r="J152" s="505">
        <f t="shared" si="28"/>
        <v>0</v>
      </c>
      <c r="K152" s="505"/>
      <c r="L152" s="513"/>
      <c r="M152" s="505">
        <f t="shared" si="29"/>
        <v>0</v>
      </c>
      <c r="N152" s="513"/>
      <c r="O152" s="505">
        <f t="shared" si="30"/>
        <v>0</v>
      </c>
      <c r="P152" s="505">
        <f t="shared" si="31"/>
        <v>0</v>
      </c>
    </row>
    <row r="153" spans="2:16">
      <c r="B153" s="145" t="str">
        <f t="shared" si="14"/>
        <v/>
      </c>
      <c r="C153" s="496">
        <f>IF(D94="","-",+C152+1)</f>
        <v>2071</v>
      </c>
      <c r="D153" s="350">
        <f>IF(F152+SUM(E$100:E152)=D$93,F152,D$93-SUM(E$100:E152))</f>
        <v>0</v>
      </c>
      <c r="E153" s="510">
        <f t="shared" si="20"/>
        <v>0</v>
      </c>
      <c r="F153" s="511">
        <f t="shared" si="21"/>
        <v>0</v>
      </c>
      <c r="G153" s="511">
        <f t="shared" si="22"/>
        <v>0</v>
      </c>
      <c r="H153" s="646">
        <f t="shared" si="23"/>
        <v>0</v>
      </c>
      <c r="I153" s="628">
        <f t="shared" si="24"/>
        <v>0</v>
      </c>
      <c r="J153" s="505">
        <f t="shared" si="28"/>
        <v>0</v>
      </c>
      <c r="K153" s="505"/>
      <c r="L153" s="513"/>
      <c r="M153" s="505">
        <f t="shared" si="29"/>
        <v>0</v>
      </c>
      <c r="N153" s="513"/>
      <c r="O153" s="505">
        <f t="shared" si="30"/>
        <v>0</v>
      </c>
      <c r="P153" s="505">
        <f t="shared" si="31"/>
        <v>0</v>
      </c>
    </row>
    <row r="154" spans="2:16">
      <c r="B154" s="145" t="str">
        <f t="shared" si="14"/>
        <v/>
      </c>
      <c r="C154" s="496">
        <f>IF(D94="","-",+C153+1)</f>
        <v>2072</v>
      </c>
      <c r="D154" s="350">
        <f>IF(F153+SUM(E$100:E153)=D$93,F153,D$93-SUM(E$100:E153))</f>
        <v>0</v>
      </c>
      <c r="E154" s="510">
        <f t="shared" si="20"/>
        <v>0</v>
      </c>
      <c r="F154" s="511">
        <f t="shared" si="21"/>
        <v>0</v>
      </c>
      <c r="G154" s="511">
        <f t="shared" si="22"/>
        <v>0</v>
      </c>
      <c r="H154" s="646">
        <f t="shared" si="23"/>
        <v>0</v>
      </c>
      <c r="I154" s="628">
        <f t="shared" si="24"/>
        <v>0</v>
      </c>
      <c r="J154" s="505">
        <f t="shared" si="28"/>
        <v>0</v>
      </c>
      <c r="K154" s="505"/>
      <c r="L154" s="513"/>
      <c r="M154" s="505">
        <f t="shared" si="29"/>
        <v>0</v>
      </c>
      <c r="N154" s="513"/>
      <c r="O154" s="505">
        <f t="shared" si="30"/>
        <v>0</v>
      </c>
      <c r="P154" s="505">
        <f t="shared" si="31"/>
        <v>0</v>
      </c>
    </row>
    <row r="155" spans="2:16" ht="13.5" thickBot="1">
      <c r="B155" s="145" t="str">
        <f t="shared" si="14"/>
        <v/>
      </c>
      <c r="C155" s="525">
        <f>IF(D94="","-",+C154+1)</f>
        <v>2073</v>
      </c>
      <c r="D155" s="636">
        <f>IF(F154+SUM(E$100:E154)=D$93,F154,D$93-SUM(E$100:E154))</f>
        <v>0</v>
      </c>
      <c r="E155" s="527">
        <f t="shared" si="20"/>
        <v>0</v>
      </c>
      <c r="F155" s="528">
        <f t="shared" si="21"/>
        <v>0</v>
      </c>
      <c r="G155" s="528">
        <f t="shared" si="22"/>
        <v>0</v>
      </c>
      <c r="H155" s="646">
        <f t="shared" si="23"/>
        <v>0</v>
      </c>
      <c r="I155" s="624">
        <f t="shared" si="24"/>
        <v>0</v>
      </c>
      <c r="J155" s="532">
        <f t="shared" si="28"/>
        <v>0</v>
      </c>
      <c r="K155" s="505"/>
      <c r="L155" s="531"/>
      <c r="M155" s="532">
        <f t="shared" si="29"/>
        <v>0</v>
      </c>
      <c r="N155" s="531"/>
      <c r="O155" s="532">
        <f t="shared" si="30"/>
        <v>0</v>
      </c>
      <c r="P155" s="532">
        <f t="shared" si="31"/>
        <v>0</v>
      </c>
    </row>
    <row r="156" spans="2:16">
      <c r="C156" s="350" t="s">
        <v>75</v>
      </c>
      <c r="D156" s="295"/>
      <c r="E156" s="295">
        <f>SUM(E100:E155)</f>
        <v>8934664</v>
      </c>
      <c r="F156" s="295"/>
      <c r="G156" s="295"/>
      <c r="H156" s="295">
        <f>SUM(H100:H155)</f>
        <v>22352370.908534769</v>
      </c>
      <c r="I156" s="295">
        <f>SUM(I100:I155)</f>
        <v>22352370.908534769</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63"/>
  <sheetViews>
    <sheetView topLeftCell="A76" zoomScale="80" zoomScaleNormal="80"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8" t="s">
        <v>189</v>
      </c>
      <c r="B1" s="244"/>
      <c r="C1" s="249"/>
      <c r="D1" s="293"/>
      <c r="E1" s="244"/>
      <c r="F1" s="340"/>
      <c r="G1" s="244"/>
      <c r="H1" s="326"/>
      <c r="J1" s="221"/>
      <c r="K1" s="439"/>
      <c r="L1" s="439"/>
      <c r="M1" s="439"/>
      <c r="P1" s="440" t="str">
        <f ca="1">"OKT Project "&amp;RIGHT(MID(CELL("filename",$A$1),FIND("]",CELL("filename",$A$1))+1,256),2)&amp;" of "&amp;COUNT('OKT.001:OKT.xyz - blank'!$P$3)-1</f>
        <v>OKT Project 20 of 20</v>
      </c>
    </row>
    <row r="2" spans="1:16" ht="18">
      <c r="B2" s="244"/>
      <c r="C2" s="244"/>
      <c r="D2" s="293"/>
      <c r="E2" s="244"/>
      <c r="F2" s="244"/>
      <c r="G2" s="244"/>
      <c r="H2" s="326"/>
      <c r="I2" s="244"/>
      <c r="J2" s="279"/>
      <c r="K2" s="244"/>
      <c r="L2" s="244"/>
      <c r="M2" s="244"/>
      <c r="N2" s="244"/>
      <c r="P2" s="442" t="s">
        <v>131</v>
      </c>
    </row>
    <row r="3" spans="1:16" ht="18.75">
      <c r="B3" s="234" t="s">
        <v>42</v>
      </c>
      <c r="C3" s="306" t="s">
        <v>43</v>
      </c>
      <c r="D3" s="293"/>
      <c r="E3" s="244"/>
      <c r="F3" s="244"/>
      <c r="G3" s="244"/>
      <c r="H3" s="326"/>
      <c r="I3" s="326"/>
      <c r="J3" s="295"/>
      <c r="K3" s="326"/>
      <c r="L3" s="326"/>
      <c r="M3" s="326"/>
      <c r="N3" s="326"/>
      <c r="O3" s="244"/>
      <c r="P3" s="578">
        <v>1</v>
      </c>
    </row>
    <row r="4" spans="1:16" ht="15.75" thickBot="1">
      <c r="C4" s="305"/>
      <c r="D4" s="293"/>
      <c r="E4" s="244"/>
      <c r="F4" s="244"/>
      <c r="G4" s="244"/>
      <c r="H4" s="326"/>
      <c r="I4" s="326"/>
      <c r="J4" s="295"/>
      <c r="K4" s="326"/>
      <c r="L4" s="326"/>
      <c r="M4" s="326"/>
      <c r="N4" s="326"/>
      <c r="O4" s="244"/>
      <c r="P4" s="244"/>
    </row>
    <row r="5" spans="1:16" ht="15">
      <c r="C5" s="444" t="s">
        <v>44</v>
      </c>
      <c r="D5" s="293"/>
      <c r="E5" s="244"/>
      <c r="F5" s="244"/>
      <c r="G5" s="445"/>
      <c r="H5" s="244" t="s">
        <v>45</v>
      </c>
      <c r="I5" s="244"/>
      <c r="J5" s="279"/>
      <c r="K5" s="446" t="s">
        <v>242</v>
      </c>
      <c r="L5" s="447"/>
      <c r="M5" s="448"/>
      <c r="N5" s="449">
        <f>VLOOKUP(I10,C17:I73,5)</f>
        <v>235038.97436975082</v>
      </c>
      <c r="P5" s="244"/>
    </row>
    <row r="6" spans="1:16" ht="15.75">
      <c r="C6" s="236"/>
      <c r="D6" s="293"/>
      <c r="E6" s="244"/>
      <c r="F6" s="244"/>
      <c r="G6" s="244"/>
      <c r="H6" s="450"/>
      <c r="I6" s="450"/>
      <c r="J6" s="451"/>
      <c r="K6" s="452" t="s">
        <v>243</v>
      </c>
      <c r="L6" s="453"/>
      <c r="M6" s="279"/>
      <c r="N6" s="454">
        <f>VLOOKUP(I10,C17:I73,6)</f>
        <v>235038.97436975082</v>
      </c>
      <c r="O6" s="244"/>
      <c r="P6" s="244"/>
    </row>
    <row r="7" spans="1:16" ht="13.5" thickBot="1">
      <c r="C7" s="455" t="s">
        <v>46</v>
      </c>
      <c r="D7" s="635" t="s">
        <v>291</v>
      </c>
      <c r="E7" s="244"/>
      <c r="F7" s="244"/>
      <c r="G7" s="244"/>
      <c r="H7" s="326"/>
      <c r="I7" s="326"/>
      <c r="J7" s="295"/>
      <c r="K7" s="457" t="s">
        <v>47</v>
      </c>
      <c r="L7" s="458"/>
      <c r="M7" s="458"/>
      <c r="N7" s="459">
        <f>+N6-N5</f>
        <v>0</v>
      </c>
      <c r="O7" s="244"/>
      <c r="P7" s="244"/>
    </row>
    <row r="8" spans="1:16" ht="13.5" thickBot="1">
      <c r="C8" s="460"/>
      <c r="D8" s="461"/>
      <c r="E8" s="462"/>
      <c r="F8" s="462"/>
      <c r="G8" s="462"/>
      <c r="H8" s="462"/>
      <c r="I8" s="462"/>
      <c r="J8" s="645"/>
      <c r="K8" s="462"/>
      <c r="L8" s="462"/>
      <c r="M8" s="462"/>
      <c r="N8" s="462"/>
      <c r="O8" s="645"/>
      <c r="P8" s="249"/>
    </row>
    <row r="9" spans="1:16" ht="13.5" thickBot="1">
      <c r="C9" s="464" t="s">
        <v>48</v>
      </c>
      <c r="D9" s="465" t="s">
        <v>292</v>
      </c>
      <c r="E9" s="466"/>
      <c r="F9" s="466"/>
      <c r="G9" s="466"/>
      <c r="H9" s="466"/>
      <c r="I9" s="467"/>
      <c r="J9" s="468"/>
      <c r="O9" s="469"/>
      <c r="P9" s="279"/>
    </row>
    <row r="10" spans="1:16">
      <c r="C10" s="470" t="s">
        <v>49</v>
      </c>
      <c r="D10" s="471">
        <v>3573405</v>
      </c>
      <c r="E10" s="300" t="s">
        <v>50</v>
      </c>
      <c r="F10" s="469"/>
      <c r="G10" s="409"/>
      <c r="H10" s="409"/>
      <c r="I10" s="472">
        <f>+'OKT.WS.F.BPU.ATRR.Projected'!R100</f>
        <v>2020</v>
      </c>
      <c r="J10" s="468"/>
      <c r="K10" s="295" t="s">
        <v>51</v>
      </c>
      <c r="O10" s="279"/>
      <c r="P10" s="279"/>
    </row>
    <row r="11" spans="1:16">
      <c r="C11" s="473" t="s">
        <v>52</v>
      </c>
      <c r="D11" s="474">
        <v>2020</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c r="C12" s="473" t="s">
        <v>54</v>
      </c>
      <c r="D12" s="471">
        <v>6</v>
      </c>
      <c r="E12" s="473" t="s">
        <v>55</v>
      </c>
      <c r="F12" s="409"/>
      <c r="G12" s="221"/>
      <c r="H12" s="221"/>
      <c r="I12" s="477">
        <f>'OKT.WS.F.BPU.ATRR.Projected'!$F$78</f>
        <v>0.1064171487591708</v>
      </c>
      <c r="J12" s="414"/>
      <c r="K12" s="145" t="s">
        <v>56</v>
      </c>
      <c r="O12" s="279"/>
      <c r="P12" s="279"/>
    </row>
    <row r="13" spans="1:16">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5" thickBot="1">
      <c r="C14" s="473" t="s">
        <v>60</v>
      </c>
      <c r="D14" s="474" t="s">
        <v>61</v>
      </c>
      <c r="E14" s="279" t="s">
        <v>62</v>
      </c>
      <c r="F14" s="409"/>
      <c r="G14" s="221"/>
      <c r="H14" s="221"/>
      <c r="I14" s="478">
        <f>IF(D10=0,0,D10/D13)</f>
        <v>105100.14705882352</v>
      </c>
      <c r="J14" s="295"/>
      <c r="K14" s="295"/>
      <c r="L14" s="295"/>
      <c r="M14" s="295"/>
      <c r="N14" s="295"/>
      <c r="O14" s="279"/>
      <c r="P14" s="279"/>
    </row>
    <row r="15" spans="1:16"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c r="B17" s="145" t="str">
        <f t="shared" ref="B17:B71" si="0">IF(D17=F16,"","IU")</f>
        <v>IU</v>
      </c>
      <c r="C17" s="496">
        <f>IF(D11= "","-",D11)</f>
        <v>2020</v>
      </c>
      <c r="D17" s="639">
        <v>0</v>
      </c>
      <c r="E17" s="641">
        <v>51872.674102418707</v>
      </c>
      <c r="F17" s="641">
        <v>3491127.3258975814</v>
      </c>
      <c r="G17" s="641">
        <v>235038.97436975082</v>
      </c>
      <c r="H17" s="641">
        <v>235038.97436975082</v>
      </c>
      <c r="I17" s="501">
        <f t="shared" ref="I17:I71" si="1">H17-G17</f>
        <v>0</v>
      </c>
      <c r="J17" s="501"/>
      <c r="K17" s="502">
        <f>+G17</f>
        <v>235038.97436975082</v>
      </c>
      <c r="L17" s="504">
        <f t="shared" ref="L17:L71" si="2">IF(K17&lt;&gt;0,+G17-K17,0)</f>
        <v>0</v>
      </c>
      <c r="M17" s="502">
        <f>+H17</f>
        <v>235038.97436975082</v>
      </c>
      <c r="N17" s="504">
        <f t="shared" ref="N17:N71" si="3">IF(M17&lt;&gt;0,+H17-M17,0)</f>
        <v>0</v>
      </c>
      <c r="O17" s="505">
        <f t="shared" ref="O17:O71" si="4">+N17-L17</f>
        <v>0</v>
      </c>
      <c r="P17" s="279"/>
    </row>
    <row r="18" spans="2:16">
      <c r="B18" s="145" t="str">
        <f t="shared" si="0"/>
        <v>IU</v>
      </c>
      <c r="C18" s="496">
        <f>IF(D11="","-",+C17+1)</f>
        <v>2021</v>
      </c>
      <c r="D18" s="615">
        <v>3889537.3258975814</v>
      </c>
      <c r="E18" s="614">
        <v>127142.25806451614</v>
      </c>
      <c r="F18" s="615">
        <v>3762395.0678330651</v>
      </c>
      <c r="G18" s="614">
        <v>541054.66812252079</v>
      </c>
      <c r="H18" s="618">
        <v>541054.66812252079</v>
      </c>
      <c r="I18" s="501">
        <f t="shared" si="1"/>
        <v>0</v>
      </c>
      <c r="J18" s="501"/>
      <c r="K18" s="593">
        <f>+G18</f>
        <v>541054.66812252079</v>
      </c>
      <c r="L18" s="597">
        <f t="shared" si="2"/>
        <v>0</v>
      </c>
      <c r="M18" s="593">
        <f>+H18</f>
        <v>541054.66812252079</v>
      </c>
      <c r="N18" s="505">
        <f t="shared" si="3"/>
        <v>0</v>
      </c>
      <c r="O18" s="505">
        <f t="shared" si="4"/>
        <v>0</v>
      </c>
      <c r="P18" s="279"/>
    </row>
    <row r="19" spans="2:16">
      <c r="B19" s="145" t="str">
        <f t="shared" si="0"/>
        <v>IU</v>
      </c>
      <c r="C19" s="496">
        <f>IF(D11="","-",+C18+1)</f>
        <v>2022</v>
      </c>
      <c r="D19" s="509">
        <f>IF(F18+SUM(E$17:E18)=D$10,F18,D$10-SUM(E$17:E18))</f>
        <v>3394390.0678330651</v>
      </c>
      <c r="E19" s="510">
        <f t="shared" ref="E19:E71" si="5">IF(+I$14&lt;F18,I$14,D19)</f>
        <v>105100.14705882352</v>
      </c>
      <c r="F19" s="511">
        <f t="shared" ref="F19:F71" si="6">+D19-E19</f>
        <v>3289289.9207742414</v>
      </c>
      <c r="G19" s="512">
        <f t="shared" ref="G19:G71" si="7">(D19+F19)/2*I$12+E19</f>
        <v>460729.23086198187</v>
      </c>
      <c r="H19" s="478">
        <f t="shared" ref="H19:H71" si="8">+(D19+F19)/2*I$13+E19</f>
        <v>460729.23086198187</v>
      </c>
      <c r="I19" s="501">
        <f t="shared" si="1"/>
        <v>0</v>
      </c>
      <c r="J19" s="501"/>
      <c r="K19" s="513"/>
      <c r="L19" s="505">
        <f t="shared" si="2"/>
        <v>0</v>
      </c>
      <c r="M19" s="513"/>
      <c r="N19" s="505">
        <f t="shared" si="3"/>
        <v>0</v>
      </c>
      <c r="O19" s="505">
        <f t="shared" si="4"/>
        <v>0</v>
      </c>
      <c r="P19" s="279"/>
    </row>
    <row r="20" spans="2:16">
      <c r="B20" s="145" t="str">
        <f t="shared" si="0"/>
        <v/>
      </c>
      <c r="C20" s="496">
        <f>IF(D11="","-",+C19+1)</f>
        <v>2023</v>
      </c>
      <c r="D20" s="509">
        <f>IF(F19+SUM(E$17:E19)=D$10,F19,D$10-SUM(E$17:E19))</f>
        <v>3289289.9207742414</v>
      </c>
      <c r="E20" s="510">
        <f t="shared" si="5"/>
        <v>105100.14705882352</v>
      </c>
      <c r="F20" s="511">
        <f t="shared" si="6"/>
        <v>3184189.7737154178</v>
      </c>
      <c r="G20" s="512">
        <f t="shared" si="7"/>
        <v>449544.77287781239</v>
      </c>
      <c r="H20" s="478">
        <f t="shared" si="8"/>
        <v>449544.77287781239</v>
      </c>
      <c r="I20" s="501">
        <f t="shared" si="1"/>
        <v>0</v>
      </c>
      <c r="J20" s="501"/>
      <c r="K20" s="513"/>
      <c r="L20" s="505">
        <f t="shared" si="2"/>
        <v>0</v>
      </c>
      <c r="M20" s="513"/>
      <c r="N20" s="505">
        <f t="shared" si="3"/>
        <v>0</v>
      </c>
      <c r="O20" s="505">
        <f t="shared" si="4"/>
        <v>0</v>
      </c>
      <c r="P20" s="279"/>
    </row>
    <row r="21" spans="2:16">
      <c r="B21" s="145" t="str">
        <f t="shared" si="0"/>
        <v/>
      </c>
      <c r="C21" s="496">
        <f>IF(D11="","-",+C20+1)</f>
        <v>2024</v>
      </c>
      <c r="D21" s="509">
        <f>IF(F20+SUM(E$17:E20)=D$10,F20,D$10-SUM(E$17:E20))</f>
        <v>3184189.7737154178</v>
      </c>
      <c r="E21" s="510">
        <f t="shared" si="5"/>
        <v>105100.14705882352</v>
      </c>
      <c r="F21" s="511">
        <f t="shared" si="6"/>
        <v>3079089.6266565942</v>
      </c>
      <c r="G21" s="512">
        <f t="shared" si="7"/>
        <v>438360.31489364279</v>
      </c>
      <c r="H21" s="478">
        <f t="shared" si="8"/>
        <v>438360.31489364279</v>
      </c>
      <c r="I21" s="501">
        <f t="shared" si="1"/>
        <v>0</v>
      </c>
      <c r="J21" s="501"/>
      <c r="K21" s="513"/>
      <c r="L21" s="505">
        <f t="shared" si="2"/>
        <v>0</v>
      </c>
      <c r="M21" s="513"/>
      <c r="N21" s="505">
        <f t="shared" si="3"/>
        <v>0</v>
      </c>
      <c r="O21" s="505">
        <f t="shared" si="4"/>
        <v>0</v>
      </c>
      <c r="P21" s="279"/>
    </row>
    <row r="22" spans="2:16">
      <c r="B22" s="145" t="str">
        <f t="shared" si="0"/>
        <v/>
      </c>
      <c r="C22" s="496">
        <f>IF(D11="","-",+C21+1)</f>
        <v>2025</v>
      </c>
      <c r="D22" s="509">
        <f>IF(F21+SUM(E$17:E21)=D$10,F21,D$10-SUM(E$17:E21))</f>
        <v>3079089.6266565942</v>
      </c>
      <c r="E22" s="510">
        <f t="shared" si="5"/>
        <v>105100.14705882352</v>
      </c>
      <c r="F22" s="511">
        <f t="shared" si="6"/>
        <v>2973989.4795977706</v>
      </c>
      <c r="G22" s="512">
        <f t="shared" si="7"/>
        <v>427175.85690947319</v>
      </c>
      <c r="H22" s="478">
        <f t="shared" si="8"/>
        <v>427175.85690947319</v>
      </c>
      <c r="I22" s="501">
        <f t="shared" si="1"/>
        <v>0</v>
      </c>
      <c r="J22" s="501"/>
      <c r="K22" s="513"/>
      <c r="L22" s="505">
        <f t="shared" si="2"/>
        <v>0</v>
      </c>
      <c r="M22" s="513"/>
      <c r="N22" s="505">
        <f t="shared" si="3"/>
        <v>0</v>
      </c>
      <c r="O22" s="505">
        <f t="shared" si="4"/>
        <v>0</v>
      </c>
      <c r="P22" s="279"/>
    </row>
    <row r="23" spans="2:16">
      <c r="B23" s="145" t="str">
        <f t="shared" si="0"/>
        <v/>
      </c>
      <c r="C23" s="496">
        <f>IF(D11="","-",+C22+1)</f>
        <v>2026</v>
      </c>
      <c r="D23" s="509">
        <f>IF(F22+SUM(E$17:E22)=D$10,F22,D$10-SUM(E$17:E22))</f>
        <v>2973989.4795977706</v>
      </c>
      <c r="E23" s="510">
        <f t="shared" si="5"/>
        <v>105100.14705882352</v>
      </c>
      <c r="F23" s="511">
        <f t="shared" si="6"/>
        <v>2868889.332538947</v>
      </c>
      <c r="G23" s="512">
        <f t="shared" si="7"/>
        <v>415991.3989253036</v>
      </c>
      <c r="H23" s="478">
        <f t="shared" si="8"/>
        <v>415991.3989253036</v>
      </c>
      <c r="I23" s="501">
        <f t="shared" si="1"/>
        <v>0</v>
      </c>
      <c r="J23" s="501"/>
      <c r="K23" s="513"/>
      <c r="L23" s="505">
        <f t="shared" si="2"/>
        <v>0</v>
      </c>
      <c r="M23" s="513"/>
      <c r="N23" s="505">
        <f t="shared" si="3"/>
        <v>0</v>
      </c>
      <c r="O23" s="505">
        <f t="shared" si="4"/>
        <v>0</v>
      </c>
      <c r="P23" s="279"/>
    </row>
    <row r="24" spans="2:16">
      <c r="B24" s="145" t="str">
        <f t="shared" si="0"/>
        <v/>
      </c>
      <c r="C24" s="496">
        <f>IF(D11="","-",+C23+1)</f>
        <v>2027</v>
      </c>
      <c r="D24" s="509">
        <f>IF(F23+SUM(E$17:E23)=D$10,F23,D$10-SUM(E$17:E23))</f>
        <v>2868889.332538947</v>
      </c>
      <c r="E24" s="510">
        <f t="shared" si="5"/>
        <v>105100.14705882352</v>
      </c>
      <c r="F24" s="511">
        <f t="shared" si="6"/>
        <v>2763789.1854801234</v>
      </c>
      <c r="G24" s="512">
        <f t="shared" si="7"/>
        <v>404806.94094113412</v>
      </c>
      <c r="H24" s="478">
        <f t="shared" si="8"/>
        <v>404806.94094113412</v>
      </c>
      <c r="I24" s="501">
        <f t="shared" si="1"/>
        <v>0</v>
      </c>
      <c r="J24" s="501"/>
      <c r="K24" s="513"/>
      <c r="L24" s="505">
        <f t="shared" si="2"/>
        <v>0</v>
      </c>
      <c r="M24" s="513"/>
      <c r="N24" s="505">
        <f t="shared" si="3"/>
        <v>0</v>
      </c>
      <c r="O24" s="505">
        <f t="shared" si="4"/>
        <v>0</v>
      </c>
      <c r="P24" s="279"/>
    </row>
    <row r="25" spans="2:16">
      <c r="B25" s="145" t="str">
        <f t="shared" si="0"/>
        <v/>
      </c>
      <c r="C25" s="496">
        <f>IF(D11="","-",+C24+1)</f>
        <v>2028</v>
      </c>
      <c r="D25" s="509">
        <f>IF(F24+SUM(E$17:E24)=D$10,F24,D$10-SUM(E$17:E24))</f>
        <v>2763789.1854801234</v>
      </c>
      <c r="E25" s="510">
        <f t="shared" si="5"/>
        <v>105100.14705882352</v>
      </c>
      <c r="F25" s="511">
        <f t="shared" si="6"/>
        <v>2658689.0384212998</v>
      </c>
      <c r="G25" s="512">
        <f t="shared" si="7"/>
        <v>393622.48295696452</v>
      </c>
      <c r="H25" s="478">
        <f t="shared" si="8"/>
        <v>393622.48295696452</v>
      </c>
      <c r="I25" s="501">
        <f t="shared" si="1"/>
        <v>0</v>
      </c>
      <c r="J25" s="501"/>
      <c r="K25" s="513"/>
      <c r="L25" s="505">
        <f t="shared" si="2"/>
        <v>0</v>
      </c>
      <c r="M25" s="513"/>
      <c r="N25" s="505">
        <f t="shared" si="3"/>
        <v>0</v>
      </c>
      <c r="O25" s="505">
        <f t="shared" si="4"/>
        <v>0</v>
      </c>
      <c r="P25" s="279"/>
    </row>
    <row r="26" spans="2:16">
      <c r="B26" s="145" t="str">
        <f t="shared" si="0"/>
        <v/>
      </c>
      <c r="C26" s="496">
        <f>IF(D11="","-",+C25+1)</f>
        <v>2029</v>
      </c>
      <c r="D26" s="509">
        <f>IF(F25+SUM(E$17:E25)=D$10,F25,D$10-SUM(E$17:E25))</f>
        <v>2658689.0384212998</v>
      </c>
      <c r="E26" s="510">
        <f t="shared" si="5"/>
        <v>105100.14705882352</v>
      </c>
      <c r="F26" s="511">
        <f t="shared" si="6"/>
        <v>2553588.8913624762</v>
      </c>
      <c r="G26" s="512">
        <f t="shared" si="7"/>
        <v>382438.02497279504</v>
      </c>
      <c r="H26" s="478">
        <f t="shared" si="8"/>
        <v>382438.02497279504</v>
      </c>
      <c r="I26" s="501">
        <f t="shared" si="1"/>
        <v>0</v>
      </c>
      <c r="J26" s="501"/>
      <c r="K26" s="513"/>
      <c r="L26" s="505">
        <f t="shared" si="2"/>
        <v>0</v>
      </c>
      <c r="M26" s="513"/>
      <c r="N26" s="505">
        <f t="shared" si="3"/>
        <v>0</v>
      </c>
      <c r="O26" s="505">
        <f t="shared" si="4"/>
        <v>0</v>
      </c>
      <c r="P26" s="279"/>
    </row>
    <row r="27" spans="2:16">
      <c r="B27" s="145" t="str">
        <f t="shared" si="0"/>
        <v/>
      </c>
      <c r="C27" s="496">
        <f>IF(D11="","-",+C26+1)</f>
        <v>2030</v>
      </c>
      <c r="D27" s="509">
        <f>IF(F26+SUM(E$17:E26)=D$10,F26,D$10-SUM(E$17:E26))</f>
        <v>2553588.8913624762</v>
      </c>
      <c r="E27" s="510">
        <f t="shared" si="5"/>
        <v>105100.14705882352</v>
      </c>
      <c r="F27" s="511">
        <f t="shared" si="6"/>
        <v>2448488.7443036526</v>
      </c>
      <c r="G27" s="512">
        <f t="shared" si="7"/>
        <v>371253.56698862533</v>
      </c>
      <c r="H27" s="478">
        <f t="shared" si="8"/>
        <v>371253.56698862533</v>
      </c>
      <c r="I27" s="501">
        <f t="shared" si="1"/>
        <v>0</v>
      </c>
      <c r="J27" s="501"/>
      <c r="K27" s="513"/>
      <c r="L27" s="505">
        <f t="shared" si="2"/>
        <v>0</v>
      </c>
      <c r="M27" s="513"/>
      <c r="N27" s="505">
        <f t="shared" si="3"/>
        <v>0</v>
      </c>
      <c r="O27" s="505">
        <f t="shared" si="4"/>
        <v>0</v>
      </c>
      <c r="P27" s="279"/>
    </row>
    <row r="28" spans="2:16">
      <c r="B28" s="145" t="str">
        <f t="shared" si="0"/>
        <v/>
      </c>
      <c r="C28" s="496">
        <f>IF(D11="","-",+C27+1)</f>
        <v>2031</v>
      </c>
      <c r="D28" s="509">
        <f>IF(F27+SUM(E$17:E27)=D$10,F27,D$10-SUM(E$17:E27))</f>
        <v>2448488.7443036526</v>
      </c>
      <c r="E28" s="510">
        <f t="shared" si="5"/>
        <v>105100.14705882352</v>
      </c>
      <c r="F28" s="511">
        <f t="shared" si="6"/>
        <v>2343388.5972448289</v>
      </c>
      <c r="G28" s="512">
        <f t="shared" si="7"/>
        <v>360069.10900445585</v>
      </c>
      <c r="H28" s="478">
        <f t="shared" si="8"/>
        <v>360069.10900445585</v>
      </c>
      <c r="I28" s="501">
        <f t="shared" si="1"/>
        <v>0</v>
      </c>
      <c r="J28" s="501"/>
      <c r="K28" s="513"/>
      <c r="L28" s="505">
        <f t="shared" si="2"/>
        <v>0</v>
      </c>
      <c r="M28" s="513"/>
      <c r="N28" s="505">
        <f t="shared" si="3"/>
        <v>0</v>
      </c>
      <c r="O28" s="505">
        <f t="shared" si="4"/>
        <v>0</v>
      </c>
      <c r="P28" s="279"/>
    </row>
    <row r="29" spans="2:16">
      <c r="B29" s="145" t="str">
        <f t="shared" si="0"/>
        <v/>
      </c>
      <c r="C29" s="496">
        <f>IF(D11="","-",+C28+1)</f>
        <v>2032</v>
      </c>
      <c r="D29" s="509">
        <f>IF(F28+SUM(E$17:E28)=D$10,F28,D$10-SUM(E$17:E28))</f>
        <v>2343388.5972448289</v>
      </c>
      <c r="E29" s="510">
        <f t="shared" si="5"/>
        <v>105100.14705882352</v>
      </c>
      <c r="F29" s="511">
        <f t="shared" si="6"/>
        <v>2238288.4501860053</v>
      </c>
      <c r="G29" s="512">
        <f t="shared" si="7"/>
        <v>348884.65102028626</v>
      </c>
      <c r="H29" s="478">
        <f t="shared" si="8"/>
        <v>348884.65102028626</v>
      </c>
      <c r="I29" s="501">
        <f t="shared" si="1"/>
        <v>0</v>
      </c>
      <c r="J29" s="501"/>
      <c r="K29" s="513"/>
      <c r="L29" s="505">
        <f t="shared" si="2"/>
        <v>0</v>
      </c>
      <c r="M29" s="513"/>
      <c r="N29" s="505">
        <f t="shared" si="3"/>
        <v>0</v>
      </c>
      <c r="O29" s="505">
        <f t="shared" si="4"/>
        <v>0</v>
      </c>
      <c r="P29" s="279"/>
    </row>
    <row r="30" spans="2:16">
      <c r="B30" s="145" t="str">
        <f t="shared" si="0"/>
        <v/>
      </c>
      <c r="C30" s="496">
        <f>IF(D11="","-",+C29+1)</f>
        <v>2033</v>
      </c>
      <c r="D30" s="509">
        <f>IF(F29+SUM(E$17:E29)=D$10,F29,D$10-SUM(E$17:E29))</f>
        <v>2238288.4501860053</v>
      </c>
      <c r="E30" s="510">
        <f t="shared" si="5"/>
        <v>105100.14705882352</v>
      </c>
      <c r="F30" s="511">
        <f t="shared" si="6"/>
        <v>2133188.3031271817</v>
      </c>
      <c r="G30" s="512">
        <f t="shared" si="7"/>
        <v>337700.19303611678</v>
      </c>
      <c r="H30" s="478">
        <f t="shared" si="8"/>
        <v>337700.19303611678</v>
      </c>
      <c r="I30" s="501">
        <f t="shared" si="1"/>
        <v>0</v>
      </c>
      <c r="J30" s="501"/>
      <c r="K30" s="513"/>
      <c r="L30" s="505">
        <f t="shared" si="2"/>
        <v>0</v>
      </c>
      <c r="M30" s="513"/>
      <c r="N30" s="505">
        <f t="shared" si="3"/>
        <v>0</v>
      </c>
      <c r="O30" s="505">
        <f t="shared" si="4"/>
        <v>0</v>
      </c>
      <c r="P30" s="279"/>
    </row>
    <row r="31" spans="2:16">
      <c r="B31" s="145" t="str">
        <f t="shared" si="0"/>
        <v/>
      </c>
      <c r="C31" s="496">
        <f>IF(D11="","-",+C30+1)</f>
        <v>2034</v>
      </c>
      <c r="D31" s="509">
        <f>IF(F30+SUM(E$17:E30)=D$10,F30,D$10-SUM(E$17:E30))</f>
        <v>2133188.3031271817</v>
      </c>
      <c r="E31" s="510">
        <f t="shared" si="5"/>
        <v>105100.14705882352</v>
      </c>
      <c r="F31" s="511">
        <f t="shared" si="6"/>
        <v>2028088.1560683581</v>
      </c>
      <c r="G31" s="512">
        <f t="shared" si="7"/>
        <v>326515.73505194718</v>
      </c>
      <c r="H31" s="478">
        <f t="shared" si="8"/>
        <v>326515.73505194718</v>
      </c>
      <c r="I31" s="501">
        <f t="shared" si="1"/>
        <v>0</v>
      </c>
      <c r="J31" s="501"/>
      <c r="K31" s="513"/>
      <c r="L31" s="505">
        <f t="shared" si="2"/>
        <v>0</v>
      </c>
      <c r="M31" s="513"/>
      <c r="N31" s="505">
        <f t="shared" si="3"/>
        <v>0</v>
      </c>
      <c r="O31" s="505">
        <f t="shared" si="4"/>
        <v>0</v>
      </c>
      <c r="P31" s="279"/>
    </row>
    <row r="32" spans="2:16">
      <c r="B32" s="145" t="str">
        <f t="shared" si="0"/>
        <v/>
      </c>
      <c r="C32" s="496">
        <f>IF(D11="","-",+C31+1)</f>
        <v>2035</v>
      </c>
      <c r="D32" s="509">
        <f>IF(F31+SUM(E$17:E31)=D$10,F31,D$10-SUM(E$17:E31))</f>
        <v>2028088.1560683581</v>
      </c>
      <c r="E32" s="510">
        <f t="shared" si="5"/>
        <v>105100.14705882352</v>
      </c>
      <c r="F32" s="511">
        <f t="shared" si="6"/>
        <v>1922988.0090095345</v>
      </c>
      <c r="G32" s="512">
        <f t="shared" si="7"/>
        <v>315331.27706777758</v>
      </c>
      <c r="H32" s="478">
        <f t="shared" si="8"/>
        <v>315331.27706777758</v>
      </c>
      <c r="I32" s="501">
        <f t="shared" si="1"/>
        <v>0</v>
      </c>
      <c r="J32" s="501"/>
      <c r="K32" s="513"/>
      <c r="L32" s="505">
        <f t="shared" si="2"/>
        <v>0</v>
      </c>
      <c r="M32" s="513"/>
      <c r="N32" s="505">
        <f t="shared" si="3"/>
        <v>0</v>
      </c>
      <c r="O32" s="505">
        <f t="shared" si="4"/>
        <v>0</v>
      </c>
      <c r="P32" s="279"/>
    </row>
    <row r="33" spans="2:16">
      <c r="B33" s="145" t="str">
        <f t="shared" si="0"/>
        <v/>
      </c>
      <c r="C33" s="496">
        <f>IF(D11="","-",+C32+1)</f>
        <v>2036</v>
      </c>
      <c r="D33" s="509">
        <f>IF(F32+SUM(E$17:E32)=D$10,F32,D$10-SUM(E$17:E32))</f>
        <v>1922988.0090095345</v>
      </c>
      <c r="E33" s="510">
        <f t="shared" si="5"/>
        <v>105100.14705882352</v>
      </c>
      <c r="F33" s="511">
        <f t="shared" si="6"/>
        <v>1817887.8619507109</v>
      </c>
      <c r="G33" s="512">
        <f t="shared" si="7"/>
        <v>304146.81908360805</v>
      </c>
      <c r="H33" s="478">
        <f t="shared" si="8"/>
        <v>304146.81908360805</v>
      </c>
      <c r="I33" s="501">
        <f t="shared" si="1"/>
        <v>0</v>
      </c>
      <c r="J33" s="501"/>
      <c r="K33" s="513"/>
      <c r="L33" s="505">
        <f t="shared" si="2"/>
        <v>0</v>
      </c>
      <c r="M33" s="513"/>
      <c r="N33" s="505">
        <f t="shared" si="3"/>
        <v>0</v>
      </c>
      <c r="O33" s="505">
        <f t="shared" si="4"/>
        <v>0</v>
      </c>
      <c r="P33" s="279"/>
    </row>
    <row r="34" spans="2:16">
      <c r="B34" s="145" t="str">
        <f t="shared" si="0"/>
        <v/>
      </c>
      <c r="C34" s="496">
        <f>IF(D11="","-",+C33+1)</f>
        <v>2037</v>
      </c>
      <c r="D34" s="509">
        <f>IF(F33+SUM(E$17:E33)=D$10,F33,D$10-SUM(E$17:E33))</f>
        <v>1817887.8619507109</v>
      </c>
      <c r="E34" s="510">
        <f t="shared" si="5"/>
        <v>105100.14705882352</v>
      </c>
      <c r="F34" s="511">
        <f t="shared" si="6"/>
        <v>1712787.7148918873</v>
      </c>
      <c r="G34" s="512">
        <f t="shared" si="7"/>
        <v>292962.36109943851</v>
      </c>
      <c r="H34" s="478">
        <f t="shared" si="8"/>
        <v>292962.36109943851</v>
      </c>
      <c r="I34" s="501">
        <f t="shared" si="1"/>
        <v>0</v>
      </c>
      <c r="J34" s="501"/>
      <c r="K34" s="513"/>
      <c r="L34" s="505">
        <f t="shared" si="2"/>
        <v>0</v>
      </c>
      <c r="M34" s="513"/>
      <c r="N34" s="505">
        <f t="shared" si="3"/>
        <v>0</v>
      </c>
      <c r="O34" s="505">
        <f t="shared" si="4"/>
        <v>0</v>
      </c>
      <c r="P34" s="279"/>
    </row>
    <row r="35" spans="2:16">
      <c r="B35" s="145" t="str">
        <f t="shared" si="0"/>
        <v/>
      </c>
      <c r="C35" s="496">
        <f>IF(D11="","-",+C34+1)</f>
        <v>2038</v>
      </c>
      <c r="D35" s="509">
        <f>IF(F34+SUM(E$17:E34)=D$10,F34,D$10-SUM(E$17:E34))</f>
        <v>1712787.7148918873</v>
      </c>
      <c r="E35" s="510">
        <f t="shared" si="5"/>
        <v>105100.14705882352</v>
      </c>
      <c r="F35" s="511">
        <f t="shared" si="6"/>
        <v>1607687.5678330637</v>
      </c>
      <c r="G35" s="512">
        <f t="shared" si="7"/>
        <v>281777.90311526891</v>
      </c>
      <c r="H35" s="478">
        <f t="shared" si="8"/>
        <v>281777.90311526891</v>
      </c>
      <c r="I35" s="501">
        <f t="shared" si="1"/>
        <v>0</v>
      </c>
      <c r="J35" s="501"/>
      <c r="K35" s="513"/>
      <c r="L35" s="505">
        <f t="shared" si="2"/>
        <v>0</v>
      </c>
      <c r="M35" s="513"/>
      <c r="N35" s="505">
        <f t="shared" si="3"/>
        <v>0</v>
      </c>
      <c r="O35" s="505">
        <f t="shared" si="4"/>
        <v>0</v>
      </c>
      <c r="P35" s="279"/>
    </row>
    <row r="36" spans="2:16">
      <c r="B36" s="145" t="str">
        <f t="shared" si="0"/>
        <v/>
      </c>
      <c r="C36" s="496">
        <f>IF(D11="","-",+C35+1)</f>
        <v>2039</v>
      </c>
      <c r="D36" s="509">
        <f>IF(F35+SUM(E$17:E35)=D$10,F35,D$10-SUM(E$17:E35))</f>
        <v>1607687.5678330637</v>
      </c>
      <c r="E36" s="510">
        <f t="shared" si="5"/>
        <v>105100.14705882352</v>
      </c>
      <c r="F36" s="511">
        <f t="shared" si="6"/>
        <v>1502587.42077424</v>
      </c>
      <c r="G36" s="512">
        <f t="shared" si="7"/>
        <v>270593.44513109938</v>
      </c>
      <c r="H36" s="478">
        <f t="shared" si="8"/>
        <v>270593.44513109938</v>
      </c>
      <c r="I36" s="501">
        <f t="shared" si="1"/>
        <v>0</v>
      </c>
      <c r="J36" s="501"/>
      <c r="K36" s="513"/>
      <c r="L36" s="505">
        <f t="shared" si="2"/>
        <v>0</v>
      </c>
      <c r="M36" s="513"/>
      <c r="N36" s="505">
        <f t="shared" si="3"/>
        <v>0</v>
      </c>
      <c r="O36" s="505">
        <f t="shared" si="4"/>
        <v>0</v>
      </c>
      <c r="P36" s="279"/>
    </row>
    <row r="37" spans="2:16">
      <c r="B37" s="145" t="str">
        <f t="shared" si="0"/>
        <v/>
      </c>
      <c r="C37" s="496">
        <f>IF(D11="","-",+C36+1)</f>
        <v>2040</v>
      </c>
      <c r="D37" s="509">
        <f>IF(F36+SUM(E$17:E36)=D$10,F36,D$10-SUM(E$17:E36))</f>
        <v>1502587.42077424</v>
      </c>
      <c r="E37" s="510">
        <f t="shared" si="5"/>
        <v>105100.14705882352</v>
      </c>
      <c r="F37" s="511">
        <f t="shared" si="6"/>
        <v>1397487.2737154164</v>
      </c>
      <c r="G37" s="512">
        <f t="shared" si="7"/>
        <v>259408.98714692981</v>
      </c>
      <c r="H37" s="478">
        <f t="shared" si="8"/>
        <v>259408.98714692981</v>
      </c>
      <c r="I37" s="501">
        <f t="shared" si="1"/>
        <v>0</v>
      </c>
      <c r="J37" s="501"/>
      <c r="K37" s="513"/>
      <c r="L37" s="505">
        <f t="shared" si="2"/>
        <v>0</v>
      </c>
      <c r="M37" s="513"/>
      <c r="N37" s="505">
        <f t="shared" si="3"/>
        <v>0</v>
      </c>
      <c r="O37" s="505">
        <f t="shared" si="4"/>
        <v>0</v>
      </c>
      <c r="P37" s="279"/>
    </row>
    <row r="38" spans="2:16">
      <c r="B38" s="145" t="str">
        <f t="shared" si="0"/>
        <v/>
      </c>
      <c r="C38" s="496">
        <f>IF(D11="","-",+C37+1)</f>
        <v>2041</v>
      </c>
      <c r="D38" s="509">
        <f>IF(F37+SUM(E$17:E37)=D$10,F37,D$10-SUM(E$17:E37))</f>
        <v>1397487.2737154164</v>
      </c>
      <c r="E38" s="510">
        <f t="shared" si="5"/>
        <v>105100.14705882352</v>
      </c>
      <c r="F38" s="511">
        <f t="shared" si="6"/>
        <v>1292387.1266565928</v>
      </c>
      <c r="G38" s="512">
        <f t="shared" si="7"/>
        <v>248224.52916276024</v>
      </c>
      <c r="H38" s="478">
        <f t="shared" si="8"/>
        <v>248224.52916276024</v>
      </c>
      <c r="I38" s="501">
        <f t="shared" si="1"/>
        <v>0</v>
      </c>
      <c r="J38" s="501"/>
      <c r="K38" s="513"/>
      <c r="L38" s="505">
        <f t="shared" si="2"/>
        <v>0</v>
      </c>
      <c r="M38" s="513"/>
      <c r="N38" s="505">
        <f t="shared" si="3"/>
        <v>0</v>
      </c>
      <c r="O38" s="505">
        <f t="shared" si="4"/>
        <v>0</v>
      </c>
      <c r="P38" s="279"/>
    </row>
    <row r="39" spans="2:16">
      <c r="B39" s="145" t="str">
        <f t="shared" si="0"/>
        <v/>
      </c>
      <c r="C39" s="496">
        <f>IF(D11="","-",+C38+1)</f>
        <v>2042</v>
      </c>
      <c r="D39" s="509">
        <f>IF(F38+SUM(E$17:E38)=D$10,F38,D$10-SUM(E$17:E38))</f>
        <v>1292387.1266565928</v>
      </c>
      <c r="E39" s="510">
        <f t="shared" si="5"/>
        <v>105100.14705882352</v>
      </c>
      <c r="F39" s="511">
        <f t="shared" si="6"/>
        <v>1187286.9795977692</v>
      </c>
      <c r="G39" s="512">
        <f t="shared" si="7"/>
        <v>237040.0711785907</v>
      </c>
      <c r="H39" s="478">
        <f t="shared" si="8"/>
        <v>237040.0711785907</v>
      </c>
      <c r="I39" s="501">
        <f t="shared" si="1"/>
        <v>0</v>
      </c>
      <c r="J39" s="501"/>
      <c r="K39" s="513"/>
      <c r="L39" s="505">
        <f t="shared" si="2"/>
        <v>0</v>
      </c>
      <c r="M39" s="513"/>
      <c r="N39" s="505">
        <f t="shared" si="3"/>
        <v>0</v>
      </c>
      <c r="O39" s="505">
        <f t="shared" si="4"/>
        <v>0</v>
      </c>
      <c r="P39" s="279"/>
    </row>
    <row r="40" spans="2:16">
      <c r="B40" s="145" t="str">
        <f t="shared" si="0"/>
        <v/>
      </c>
      <c r="C40" s="496">
        <f>IF(D11="","-",+C39+1)</f>
        <v>2043</v>
      </c>
      <c r="D40" s="509">
        <f>IF(F39+SUM(E$17:E39)=D$10,F39,D$10-SUM(E$17:E39))</f>
        <v>1187286.9795977692</v>
      </c>
      <c r="E40" s="510">
        <f t="shared" si="5"/>
        <v>105100.14705882352</v>
      </c>
      <c r="F40" s="511">
        <f t="shared" si="6"/>
        <v>1082186.8325389456</v>
      </c>
      <c r="G40" s="512">
        <f t="shared" si="7"/>
        <v>225855.61319442114</v>
      </c>
      <c r="H40" s="478">
        <f t="shared" si="8"/>
        <v>225855.61319442114</v>
      </c>
      <c r="I40" s="501">
        <f t="shared" si="1"/>
        <v>0</v>
      </c>
      <c r="J40" s="501"/>
      <c r="K40" s="513"/>
      <c r="L40" s="505">
        <f t="shared" si="2"/>
        <v>0</v>
      </c>
      <c r="M40" s="513"/>
      <c r="N40" s="505">
        <f t="shared" si="3"/>
        <v>0</v>
      </c>
      <c r="O40" s="505">
        <f t="shared" si="4"/>
        <v>0</v>
      </c>
      <c r="P40" s="279"/>
    </row>
    <row r="41" spans="2:16">
      <c r="B41" s="145" t="str">
        <f t="shared" si="0"/>
        <v/>
      </c>
      <c r="C41" s="496">
        <f>IF(D11="","-",+C40+1)</f>
        <v>2044</v>
      </c>
      <c r="D41" s="509">
        <f>IF(F40+SUM(E$17:E40)=D$10,F40,D$10-SUM(E$17:E40))</f>
        <v>1082186.8325389456</v>
      </c>
      <c r="E41" s="510">
        <f t="shared" si="5"/>
        <v>105100.14705882352</v>
      </c>
      <c r="F41" s="511">
        <f t="shared" si="6"/>
        <v>977086.68548012211</v>
      </c>
      <c r="G41" s="512">
        <f t="shared" si="7"/>
        <v>214671.15521025157</v>
      </c>
      <c r="H41" s="478">
        <f t="shared" si="8"/>
        <v>214671.15521025157</v>
      </c>
      <c r="I41" s="501">
        <f t="shared" si="1"/>
        <v>0</v>
      </c>
      <c r="J41" s="501"/>
      <c r="K41" s="513"/>
      <c r="L41" s="505">
        <f t="shared" si="2"/>
        <v>0</v>
      </c>
      <c r="M41" s="513"/>
      <c r="N41" s="505">
        <f t="shared" si="3"/>
        <v>0</v>
      </c>
      <c r="O41" s="505">
        <f t="shared" si="4"/>
        <v>0</v>
      </c>
      <c r="P41" s="279"/>
    </row>
    <row r="42" spans="2:16">
      <c r="B42" s="145" t="str">
        <f t="shared" si="0"/>
        <v/>
      </c>
      <c r="C42" s="496">
        <f>IF(D11="","-",+C41+1)</f>
        <v>2045</v>
      </c>
      <c r="D42" s="509">
        <f>IF(F41+SUM(E$17:E41)=D$10,F41,D$10-SUM(E$17:E41))</f>
        <v>977086.68548012211</v>
      </c>
      <c r="E42" s="510">
        <f t="shared" si="5"/>
        <v>105100.14705882352</v>
      </c>
      <c r="F42" s="511">
        <f t="shared" si="6"/>
        <v>871986.53842129861</v>
      </c>
      <c r="G42" s="512">
        <f t="shared" si="7"/>
        <v>203486.69722608203</v>
      </c>
      <c r="H42" s="478">
        <f t="shared" si="8"/>
        <v>203486.69722608203</v>
      </c>
      <c r="I42" s="501">
        <f t="shared" si="1"/>
        <v>0</v>
      </c>
      <c r="J42" s="501"/>
      <c r="K42" s="513"/>
      <c r="L42" s="505">
        <f t="shared" si="2"/>
        <v>0</v>
      </c>
      <c r="M42" s="513"/>
      <c r="N42" s="505">
        <f t="shared" si="3"/>
        <v>0</v>
      </c>
      <c r="O42" s="505">
        <f t="shared" si="4"/>
        <v>0</v>
      </c>
      <c r="P42" s="279"/>
    </row>
    <row r="43" spans="2:16">
      <c r="B43" s="145" t="str">
        <f t="shared" si="0"/>
        <v/>
      </c>
      <c r="C43" s="496">
        <f>IF(D11="","-",+C42+1)</f>
        <v>2046</v>
      </c>
      <c r="D43" s="509">
        <f>IF(F42+SUM(E$17:E42)=D$10,F42,D$10-SUM(E$17:E42))</f>
        <v>871986.53842129861</v>
      </c>
      <c r="E43" s="510">
        <f t="shared" si="5"/>
        <v>105100.14705882352</v>
      </c>
      <c r="F43" s="511">
        <f t="shared" si="6"/>
        <v>766886.39136247511</v>
      </c>
      <c r="G43" s="512">
        <f t="shared" si="7"/>
        <v>192302.2392419125</v>
      </c>
      <c r="H43" s="478">
        <f t="shared" si="8"/>
        <v>192302.2392419125</v>
      </c>
      <c r="I43" s="501">
        <f t="shared" si="1"/>
        <v>0</v>
      </c>
      <c r="J43" s="501"/>
      <c r="K43" s="513"/>
      <c r="L43" s="505">
        <f t="shared" si="2"/>
        <v>0</v>
      </c>
      <c r="M43" s="513"/>
      <c r="N43" s="505">
        <f t="shared" si="3"/>
        <v>0</v>
      </c>
      <c r="O43" s="505">
        <f t="shared" si="4"/>
        <v>0</v>
      </c>
      <c r="P43" s="279"/>
    </row>
    <row r="44" spans="2:16">
      <c r="B44" s="145" t="str">
        <f t="shared" si="0"/>
        <v/>
      </c>
      <c r="C44" s="496">
        <f>IF(D11="","-",+C43+1)</f>
        <v>2047</v>
      </c>
      <c r="D44" s="509">
        <f>IF(F43+SUM(E$17:E43)=D$10,F43,D$10-SUM(E$17:E43))</f>
        <v>766886.39136247511</v>
      </c>
      <c r="E44" s="510">
        <f t="shared" si="5"/>
        <v>105100.14705882352</v>
      </c>
      <c r="F44" s="511">
        <f t="shared" si="6"/>
        <v>661786.24430365162</v>
      </c>
      <c r="G44" s="512">
        <f t="shared" si="7"/>
        <v>181117.78125774296</v>
      </c>
      <c r="H44" s="478">
        <f t="shared" si="8"/>
        <v>181117.78125774296</v>
      </c>
      <c r="I44" s="501">
        <f t="shared" si="1"/>
        <v>0</v>
      </c>
      <c r="J44" s="501"/>
      <c r="K44" s="513"/>
      <c r="L44" s="505">
        <f t="shared" si="2"/>
        <v>0</v>
      </c>
      <c r="M44" s="513"/>
      <c r="N44" s="505">
        <f t="shared" si="3"/>
        <v>0</v>
      </c>
      <c r="O44" s="505">
        <f t="shared" si="4"/>
        <v>0</v>
      </c>
      <c r="P44" s="279"/>
    </row>
    <row r="45" spans="2:16">
      <c r="B45" s="145" t="str">
        <f t="shared" si="0"/>
        <v/>
      </c>
      <c r="C45" s="496">
        <f>IF(D11="","-",+C44+1)</f>
        <v>2048</v>
      </c>
      <c r="D45" s="509">
        <f>IF(F44+SUM(E$17:E44)=D$10,F44,D$10-SUM(E$17:E44))</f>
        <v>661786.24430365162</v>
      </c>
      <c r="E45" s="510">
        <f t="shared" si="5"/>
        <v>105100.14705882352</v>
      </c>
      <c r="F45" s="511">
        <f t="shared" si="6"/>
        <v>556686.09724482812</v>
      </c>
      <c r="G45" s="512">
        <f t="shared" si="7"/>
        <v>169933.32327357339</v>
      </c>
      <c r="H45" s="478">
        <f t="shared" si="8"/>
        <v>169933.32327357339</v>
      </c>
      <c r="I45" s="501">
        <f t="shared" si="1"/>
        <v>0</v>
      </c>
      <c r="J45" s="501"/>
      <c r="K45" s="513"/>
      <c r="L45" s="505">
        <f t="shared" si="2"/>
        <v>0</v>
      </c>
      <c r="M45" s="513"/>
      <c r="N45" s="505">
        <f t="shared" si="3"/>
        <v>0</v>
      </c>
      <c r="O45" s="505">
        <f t="shared" si="4"/>
        <v>0</v>
      </c>
      <c r="P45" s="279"/>
    </row>
    <row r="46" spans="2:16">
      <c r="B46" s="145" t="str">
        <f t="shared" si="0"/>
        <v/>
      </c>
      <c r="C46" s="496">
        <f>IF(D11="","-",+C45+1)</f>
        <v>2049</v>
      </c>
      <c r="D46" s="509">
        <f>IF(F45+SUM(E$17:E45)=D$10,F45,D$10-SUM(E$17:E45))</f>
        <v>556686.09724482812</v>
      </c>
      <c r="E46" s="510">
        <f t="shared" si="5"/>
        <v>105100.14705882352</v>
      </c>
      <c r="F46" s="511">
        <f t="shared" si="6"/>
        <v>451585.95018600463</v>
      </c>
      <c r="G46" s="512">
        <f t="shared" si="7"/>
        <v>158748.86528940385</v>
      </c>
      <c r="H46" s="478">
        <f t="shared" si="8"/>
        <v>158748.86528940385</v>
      </c>
      <c r="I46" s="501">
        <f t="shared" si="1"/>
        <v>0</v>
      </c>
      <c r="J46" s="501"/>
      <c r="K46" s="513"/>
      <c r="L46" s="505">
        <f t="shared" si="2"/>
        <v>0</v>
      </c>
      <c r="M46" s="513"/>
      <c r="N46" s="505">
        <f t="shared" si="3"/>
        <v>0</v>
      </c>
      <c r="O46" s="505">
        <f t="shared" si="4"/>
        <v>0</v>
      </c>
      <c r="P46" s="279"/>
    </row>
    <row r="47" spans="2:16">
      <c r="B47" s="145" t="str">
        <f t="shared" si="0"/>
        <v/>
      </c>
      <c r="C47" s="496">
        <f>IF(D11="","-",+C46+1)</f>
        <v>2050</v>
      </c>
      <c r="D47" s="509">
        <f>IF(F46+SUM(E$17:E46)=D$10,F46,D$10-SUM(E$17:E46))</f>
        <v>451585.95018600463</v>
      </c>
      <c r="E47" s="510">
        <f t="shared" si="5"/>
        <v>105100.14705882352</v>
      </c>
      <c r="F47" s="511">
        <f t="shared" si="6"/>
        <v>346485.80312718113</v>
      </c>
      <c r="G47" s="512">
        <f t="shared" si="7"/>
        <v>147564.40730523429</v>
      </c>
      <c r="H47" s="478">
        <f t="shared" si="8"/>
        <v>147564.40730523429</v>
      </c>
      <c r="I47" s="501">
        <f t="shared" si="1"/>
        <v>0</v>
      </c>
      <c r="J47" s="501"/>
      <c r="K47" s="513"/>
      <c r="L47" s="505">
        <f t="shared" si="2"/>
        <v>0</v>
      </c>
      <c r="M47" s="513"/>
      <c r="N47" s="505">
        <f t="shared" si="3"/>
        <v>0</v>
      </c>
      <c r="O47" s="505">
        <f t="shared" si="4"/>
        <v>0</v>
      </c>
      <c r="P47" s="279"/>
    </row>
    <row r="48" spans="2:16">
      <c r="B48" s="145" t="str">
        <f t="shared" si="0"/>
        <v/>
      </c>
      <c r="C48" s="496">
        <f>IF(D11="","-",+C47+1)</f>
        <v>2051</v>
      </c>
      <c r="D48" s="509">
        <f>IF(F47+SUM(E$17:E47)=D$10,F47,D$10-SUM(E$17:E47))</f>
        <v>346485.80312718113</v>
      </c>
      <c r="E48" s="510">
        <f t="shared" si="5"/>
        <v>105100.14705882352</v>
      </c>
      <c r="F48" s="511">
        <f t="shared" si="6"/>
        <v>241385.65606835761</v>
      </c>
      <c r="G48" s="512">
        <f t="shared" si="7"/>
        <v>136379.94932106475</v>
      </c>
      <c r="H48" s="478">
        <f t="shared" si="8"/>
        <v>136379.94932106475</v>
      </c>
      <c r="I48" s="501">
        <f t="shared" si="1"/>
        <v>0</v>
      </c>
      <c r="J48" s="501"/>
      <c r="K48" s="513"/>
      <c r="L48" s="505">
        <f t="shared" si="2"/>
        <v>0</v>
      </c>
      <c r="M48" s="513"/>
      <c r="N48" s="505">
        <f t="shared" si="3"/>
        <v>0</v>
      </c>
      <c r="O48" s="505">
        <f t="shared" si="4"/>
        <v>0</v>
      </c>
      <c r="P48" s="279"/>
    </row>
    <row r="49" spans="2:16">
      <c r="B49" s="145" t="str">
        <f t="shared" si="0"/>
        <v/>
      </c>
      <c r="C49" s="496">
        <f>IF(D11="","-",+C48+1)</f>
        <v>2052</v>
      </c>
      <c r="D49" s="509">
        <f>IF(F48+SUM(E$17:E48)=D$10,F48,D$10-SUM(E$17:E48))</f>
        <v>241385.65606835761</v>
      </c>
      <c r="E49" s="510">
        <f t="shared" si="5"/>
        <v>105100.14705882352</v>
      </c>
      <c r="F49" s="511">
        <f t="shared" si="6"/>
        <v>136285.50900953409</v>
      </c>
      <c r="G49" s="512">
        <f t="shared" si="7"/>
        <v>125195.4913368952</v>
      </c>
      <c r="H49" s="478">
        <f t="shared" si="8"/>
        <v>125195.4913368952</v>
      </c>
      <c r="I49" s="501">
        <f t="shared" si="1"/>
        <v>0</v>
      </c>
      <c r="J49" s="501"/>
      <c r="K49" s="513"/>
      <c r="L49" s="505">
        <f t="shared" si="2"/>
        <v>0</v>
      </c>
      <c r="M49" s="513"/>
      <c r="N49" s="505">
        <f t="shared" si="3"/>
        <v>0</v>
      </c>
      <c r="O49" s="505">
        <f t="shared" si="4"/>
        <v>0</v>
      </c>
      <c r="P49" s="279"/>
    </row>
    <row r="50" spans="2:16">
      <c r="B50" s="145" t="str">
        <f t="shared" si="0"/>
        <v/>
      </c>
      <c r="C50" s="496">
        <f>IF(D11="","-",+C49+1)</f>
        <v>2053</v>
      </c>
      <c r="D50" s="509">
        <f>IF(F49+SUM(E$17:E49)=D$10,F49,D$10-SUM(E$17:E49))</f>
        <v>136285.50900953409</v>
      </c>
      <c r="E50" s="510">
        <f t="shared" si="5"/>
        <v>105100.14705882352</v>
      </c>
      <c r="F50" s="511">
        <f t="shared" si="6"/>
        <v>31185.361950710561</v>
      </c>
      <c r="G50" s="512">
        <f t="shared" si="7"/>
        <v>114011.03335272564</v>
      </c>
      <c r="H50" s="478">
        <f t="shared" si="8"/>
        <v>114011.03335272564</v>
      </c>
      <c r="I50" s="501">
        <f t="shared" si="1"/>
        <v>0</v>
      </c>
      <c r="J50" s="501"/>
      <c r="K50" s="513"/>
      <c r="L50" s="505">
        <f t="shared" si="2"/>
        <v>0</v>
      </c>
      <c r="M50" s="513"/>
      <c r="N50" s="505">
        <f t="shared" si="3"/>
        <v>0</v>
      </c>
      <c r="O50" s="505">
        <f t="shared" si="4"/>
        <v>0</v>
      </c>
      <c r="P50" s="279"/>
    </row>
    <row r="51" spans="2:16">
      <c r="B51" s="145" t="str">
        <f t="shared" si="0"/>
        <v/>
      </c>
      <c r="C51" s="496">
        <f>IF(D11="","-",+C50+1)</f>
        <v>2054</v>
      </c>
      <c r="D51" s="509">
        <f>IF(F50+SUM(E$17:E50)=D$10,F50,D$10-SUM(E$17:E50))</f>
        <v>31185.361950710561</v>
      </c>
      <c r="E51" s="510">
        <f t="shared" si="5"/>
        <v>31185.361950710561</v>
      </c>
      <c r="F51" s="511">
        <f t="shared" si="6"/>
        <v>0</v>
      </c>
      <c r="G51" s="512">
        <f t="shared" si="7"/>
        <v>32844.690601619237</v>
      </c>
      <c r="H51" s="478">
        <f t="shared" si="8"/>
        <v>32844.690601619237</v>
      </c>
      <c r="I51" s="501">
        <f t="shared" si="1"/>
        <v>0</v>
      </c>
      <c r="J51" s="501"/>
      <c r="K51" s="513"/>
      <c r="L51" s="505">
        <f t="shared" si="2"/>
        <v>0</v>
      </c>
      <c r="M51" s="513"/>
      <c r="N51" s="505">
        <f t="shared" si="3"/>
        <v>0</v>
      </c>
      <c r="O51" s="505">
        <f t="shared" si="4"/>
        <v>0</v>
      </c>
      <c r="P51" s="279"/>
    </row>
    <row r="52" spans="2:16">
      <c r="B52" s="145" t="str">
        <f t="shared" si="0"/>
        <v/>
      </c>
      <c r="C52" s="496">
        <f>IF(D11="","-",+C51+1)</f>
        <v>2055</v>
      </c>
      <c r="D52" s="509">
        <f>IF(F51+SUM(E$17:E51)=D$10,F51,D$10-SUM(E$17:E51))</f>
        <v>0</v>
      </c>
      <c r="E52" s="510">
        <f t="shared" si="5"/>
        <v>0</v>
      </c>
      <c r="F52" s="511">
        <f t="shared" si="6"/>
        <v>0</v>
      </c>
      <c r="G52" s="512">
        <f t="shared" si="7"/>
        <v>0</v>
      </c>
      <c r="H52" s="478">
        <f t="shared" si="8"/>
        <v>0</v>
      </c>
      <c r="I52" s="501">
        <f t="shared" si="1"/>
        <v>0</v>
      </c>
      <c r="J52" s="501"/>
      <c r="K52" s="513"/>
      <c r="L52" s="505">
        <f t="shared" si="2"/>
        <v>0</v>
      </c>
      <c r="M52" s="513"/>
      <c r="N52" s="505">
        <f t="shared" si="3"/>
        <v>0</v>
      </c>
      <c r="O52" s="505">
        <f t="shared" si="4"/>
        <v>0</v>
      </c>
      <c r="P52" s="279"/>
    </row>
    <row r="53" spans="2:16">
      <c r="B53" s="145" t="str">
        <f t="shared" si="0"/>
        <v/>
      </c>
      <c r="C53" s="496">
        <f>IF(D11="","-",+C52+1)</f>
        <v>2056</v>
      </c>
      <c r="D53" s="509">
        <f>IF(F52+SUM(E$17:E52)=D$10,F52,D$10-SUM(E$17:E52))</f>
        <v>0</v>
      </c>
      <c r="E53" s="510">
        <f t="shared" si="5"/>
        <v>0</v>
      </c>
      <c r="F53" s="511">
        <f t="shared" si="6"/>
        <v>0</v>
      </c>
      <c r="G53" s="512">
        <f t="shared" si="7"/>
        <v>0</v>
      </c>
      <c r="H53" s="478">
        <f t="shared" si="8"/>
        <v>0</v>
      </c>
      <c r="I53" s="501">
        <f t="shared" si="1"/>
        <v>0</v>
      </c>
      <c r="J53" s="501"/>
      <c r="K53" s="513"/>
      <c r="L53" s="505">
        <f t="shared" si="2"/>
        <v>0</v>
      </c>
      <c r="M53" s="513"/>
      <c r="N53" s="505">
        <f t="shared" si="3"/>
        <v>0</v>
      </c>
      <c r="O53" s="505">
        <f t="shared" si="4"/>
        <v>0</v>
      </c>
      <c r="P53" s="279"/>
    </row>
    <row r="54" spans="2:16">
      <c r="B54" s="145" t="str">
        <f t="shared" si="0"/>
        <v/>
      </c>
      <c r="C54" s="496">
        <f>IF(D11="","-",+C53+1)</f>
        <v>2057</v>
      </c>
      <c r="D54" s="509">
        <f>IF(F53+SUM(E$17:E53)=D$10,F53,D$10-SUM(E$17:E53))</f>
        <v>0</v>
      </c>
      <c r="E54" s="510">
        <f t="shared" si="5"/>
        <v>0</v>
      </c>
      <c r="F54" s="511">
        <f t="shared" si="6"/>
        <v>0</v>
      </c>
      <c r="G54" s="512">
        <f t="shared" si="7"/>
        <v>0</v>
      </c>
      <c r="H54" s="478">
        <f t="shared" si="8"/>
        <v>0</v>
      </c>
      <c r="I54" s="501">
        <f t="shared" si="1"/>
        <v>0</v>
      </c>
      <c r="J54" s="501"/>
      <c r="K54" s="513"/>
      <c r="L54" s="505">
        <f t="shared" si="2"/>
        <v>0</v>
      </c>
      <c r="M54" s="513"/>
      <c r="N54" s="505">
        <f t="shared" si="3"/>
        <v>0</v>
      </c>
      <c r="O54" s="505">
        <f t="shared" si="4"/>
        <v>0</v>
      </c>
      <c r="P54" s="279"/>
    </row>
    <row r="55" spans="2:16">
      <c r="B55" s="145" t="str">
        <f t="shared" si="0"/>
        <v/>
      </c>
      <c r="C55" s="496">
        <f>IF(D11="","-",+C54+1)</f>
        <v>2058</v>
      </c>
      <c r="D55" s="509">
        <f>IF(F54+SUM(E$17:E54)=D$10,F54,D$10-SUM(E$17:E54))</f>
        <v>0</v>
      </c>
      <c r="E55" s="510">
        <f t="shared" si="5"/>
        <v>0</v>
      </c>
      <c r="F55" s="511">
        <f t="shared" si="6"/>
        <v>0</v>
      </c>
      <c r="G55" s="512">
        <f t="shared" si="7"/>
        <v>0</v>
      </c>
      <c r="H55" s="478">
        <f t="shared" si="8"/>
        <v>0</v>
      </c>
      <c r="I55" s="501">
        <f t="shared" si="1"/>
        <v>0</v>
      </c>
      <c r="J55" s="501"/>
      <c r="K55" s="513"/>
      <c r="L55" s="505">
        <f t="shared" si="2"/>
        <v>0</v>
      </c>
      <c r="M55" s="513"/>
      <c r="N55" s="505">
        <f t="shared" si="3"/>
        <v>0</v>
      </c>
      <c r="O55" s="505">
        <f t="shared" si="4"/>
        <v>0</v>
      </c>
      <c r="P55" s="279"/>
    </row>
    <row r="56" spans="2:16">
      <c r="B56" s="145" t="str">
        <f t="shared" si="0"/>
        <v/>
      </c>
      <c r="C56" s="496">
        <f>IF(D11="","-",+C55+1)</f>
        <v>2059</v>
      </c>
      <c r="D56" s="509">
        <f>IF(F55+SUM(E$17:E55)=D$10,F55,D$10-SUM(E$17:E55))</f>
        <v>0</v>
      </c>
      <c r="E56" s="510">
        <f t="shared" si="5"/>
        <v>0</v>
      </c>
      <c r="F56" s="511">
        <f t="shared" si="6"/>
        <v>0</v>
      </c>
      <c r="G56" s="512">
        <f t="shared" si="7"/>
        <v>0</v>
      </c>
      <c r="H56" s="478">
        <f t="shared" si="8"/>
        <v>0</v>
      </c>
      <c r="I56" s="501">
        <f t="shared" si="1"/>
        <v>0</v>
      </c>
      <c r="J56" s="501"/>
      <c r="K56" s="513"/>
      <c r="L56" s="505">
        <f t="shared" si="2"/>
        <v>0</v>
      </c>
      <c r="M56" s="513"/>
      <c r="N56" s="505">
        <f t="shared" si="3"/>
        <v>0</v>
      </c>
      <c r="O56" s="505">
        <f t="shared" si="4"/>
        <v>0</v>
      </c>
      <c r="P56" s="279"/>
    </row>
    <row r="57" spans="2:16">
      <c r="B57" s="145" t="str">
        <f t="shared" si="0"/>
        <v/>
      </c>
      <c r="C57" s="496">
        <f>IF(D11="","-",+C56+1)</f>
        <v>2060</v>
      </c>
      <c r="D57" s="509">
        <f>IF(F56+SUM(E$17:E56)=D$10,F56,D$10-SUM(E$17:E56))</f>
        <v>0</v>
      </c>
      <c r="E57" s="510">
        <f t="shared" si="5"/>
        <v>0</v>
      </c>
      <c r="F57" s="511">
        <f t="shared" si="6"/>
        <v>0</v>
      </c>
      <c r="G57" s="512">
        <f t="shared" si="7"/>
        <v>0</v>
      </c>
      <c r="H57" s="478">
        <f t="shared" si="8"/>
        <v>0</v>
      </c>
      <c r="I57" s="501">
        <f t="shared" si="1"/>
        <v>0</v>
      </c>
      <c r="J57" s="501"/>
      <c r="K57" s="513"/>
      <c r="L57" s="505">
        <f t="shared" si="2"/>
        <v>0</v>
      </c>
      <c r="M57" s="513"/>
      <c r="N57" s="505">
        <f t="shared" si="3"/>
        <v>0</v>
      </c>
      <c r="O57" s="505">
        <f t="shared" si="4"/>
        <v>0</v>
      </c>
      <c r="P57" s="279"/>
    </row>
    <row r="58" spans="2:16">
      <c r="B58" s="145" t="str">
        <f t="shared" si="0"/>
        <v/>
      </c>
      <c r="C58" s="496">
        <f>IF(D11="","-",+C57+1)</f>
        <v>2061</v>
      </c>
      <c r="D58" s="509">
        <f>IF(F57+SUM(E$17:E57)=D$10,F57,D$10-SUM(E$17:E57))</f>
        <v>0</v>
      </c>
      <c r="E58" s="510">
        <f t="shared" si="5"/>
        <v>0</v>
      </c>
      <c r="F58" s="511">
        <f t="shared" si="6"/>
        <v>0</v>
      </c>
      <c r="G58" s="512">
        <f t="shared" si="7"/>
        <v>0</v>
      </c>
      <c r="H58" s="478">
        <f t="shared" si="8"/>
        <v>0</v>
      </c>
      <c r="I58" s="501">
        <f t="shared" si="1"/>
        <v>0</v>
      </c>
      <c r="J58" s="501"/>
      <c r="K58" s="513"/>
      <c r="L58" s="505">
        <f t="shared" si="2"/>
        <v>0</v>
      </c>
      <c r="M58" s="513"/>
      <c r="N58" s="505">
        <f t="shared" si="3"/>
        <v>0</v>
      </c>
      <c r="O58" s="505">
        <f t="shared" si="4"/>
        <v>0</v>
      </c>
      <c r="P58" s="279"/>
    </row>
    <row r="59" spans="2:16">
      <c r="B59" s="145" t="str">
        <f t="shared" si="0"/>
        <v/>
      </c>
      <c r="C59" s="496">
        <f>IF(D11="","-",+C58+1)</f>
        <v>2062</v>
      </c>
      <c r="D59" s="509">
        <f>IF(F58+SUM(E$17:E58)=D$10,F58,D$10-SUM(E$17:E58))</f>
        <v>0</v>
      </c>
      <c r="E59" s="510">
        <f t="shared" si="5"/>
        <v>0</v>
      </c>
      <c r="F59" s="511">
        <f t="shared" si="6"/>
        <v>0</v>
      </c>
      <c r="G59" s="512">
        <f t="shared" si="7"/>
        <v>0</v>
      </c>
      <c r="H59" s="478">
        <f t="shared" si="8"/>
        <v>0</v>
      </c>
      <c r="I59" s="501">
        <f t="shared" si="1"/>
        <v>0</v>
      </c>
      <c r="J59" s="501"/>
      <c r="K59" s="513"/>
      <c r="L59" s="505">
        <f t="shared" si="2"/>
        <v>0</v>
      </c>
      <c r="M59" s="513"/>
      <c r="N59" s="505">
        <f t="shared" si="3"/>
        <v>0</v>
      </c>
      <c r="O59" s="505">
        <f t="shared" si="4"/>
        <v>0</v>
      </c>
      <c r="P59" s="279"/>
    </row>
    <row r="60" spans="2:16">
      <c r="B60" s="145" t="str">
        <f t="shared" si="0"/>
        <v/>
      </c>
      <c r="C60" s="496">
        <f>IF(D11="","-",+C59+1)</f>
        <v>2063</v>
      </c>
      <c r="D60" s="509">
        <f>IF(F59+SUM(E$17:E59)=D$10,F59,D$10-SUM(E$17:E59))</f>
        <v>0</v>
      </c>
      <c r="E60" s="510">
        <f t="shared" si="5"/>
        <v>0</v>
      </c>
      <c r="F60" s="511">
        <f t="shared" si="6"/>
        <v>0</v>
      </c>
      <c r="G60" s="512">
        <f t="shared" si="7"/>
        <v>0</v>
      </c>
      <c r="H60" s="478">
        <f t="shared" si="8"/>
        <v>0</v>
      </c>
      <c r="I60" s="501">
        <f t="shared" si="1"/>
        <v>0</v>
      </c>
      <c r="J60" s="501"/>
      <c r="K60" s="513"/>
      <c r="L60" s="505">
        <f t="shared" si="2"/>
        <v>0</v>
      </c>
      <c r="M60" s="513"/>
      <c r="N60" s="505">
        <f t="shared" si="3"/>
        <v>0</v>
      </c>
      <c r="O60" s="505">
        <f t="shared" si="4"/>
        <v>0</v>
      </c>
      <c r="P60" s="279"/>
    </row>
    <row r="61" spans="2:16">
      <c r="B61" s="145" t="str">
        <f t="shared" si="0"/>
        <v/>
      </c>
      <c r="C61" s="496">
        <f>IF(D11="","-",+C60+1)</f>
        <v>2064</v>
      </c>
      <c r="D61" s="509">
        <f>IF(F60+SUM(E$17:E60)=D$10,F60,D$10-SUM(E$17:E60))</f>
        <v>0</v>
      </c>
      <c r="E61" s="510">
        <f t="shared" si="5"/>
        <v>0</v>
      </c>
      <c r="F61" s="511">
        <f t="shared" si="6"/>
        <v>0</v>
      </c>
      <c r="G61" s="524">
        <f t="shared" si="7"/>
        <v>0</v>
      </c>
      <c r="H61" s="478">
        <f t="shared" si="8"/>
        <v>0</v>
      </c>
      <c r="I61" s="501">
        <f t="shared" si="1"/>
        <v>0</v>
      </c>
      <c r="J61" s="501"/>
      <c r="K61" s="513"/>
      <c r="L61" s="505">
        <f t="shared" si="2"/>
        <v>0</v>
      </c>
      <c r="M61" s="513"/>
      <c r="N61" s="505">
        <f t="shared" si="3"/>
        <v>0</v>
      </c>
      <c r="O61" s="505">
        <f t="shared" si="4"/>
        <v>0</v>
      </c>
      <c r="P61" s="279"/>
    </row>
    <row r="62" spans="2:16">
      <c r="B62" s="145" t="str">
        <f t="shared" si="0"/>
        <v/>
      </c>
      <c r="C62" s="496">
        <f>IF(D11="","-",+C61+1)</f>
        <v>2065</v>
      </c>
      <c r="D62" s="509">
        <f>IF(F61+SUM(E$17:E61)=D$10,F61,D$10-SUM(E$17:E61))</f>
        <v>0</v>
      </c>
      <c r="E62" s="510">
        <f t="shared" si="5"/>
        <v>0</v>
      </c>
      <c r="F62" s="511">
        <f t="shared" si="6"/>
        <v>0</v>
      </c>
      <c r="G62" s="524">
        <f t="shared" si="7"/>
        <v>0</v>
      </c>
      <c r="H62" s="478">
        <f t="shared" si="8"/>
        <v>0</v>
      </c>
      <c r="I62" s="501">
        <f t="shared" si="1"/>
        <v>0</v>
      </c>
      <c r="J62" s="501"/>
      <c r="K62" s="513"/>
      <c r="L62" s="505">
        <f t="shared" si="2"/>
        <v>0</v>
      </c>
      <c r="M62" s="513"/>
      <c r="N62" s="505">
        <f t="shared" si="3"/>
        <v>0</v>
      </c>
      <c r="O62" s="505">
        <f t="shared" si="4"/>
        <v>0</v>
      </c>
      <c r="P62" s="279"/>
    </row>
    <row r="63" spans="2:16">
      <c r="B63" s="145" t="str">
        <f t="shared" si="0"/>
        <v/>
      </c>
      <c r="C63" s="496">
        <f>IF(D11="","-",+C62+1)</f>
        <v>2066</v>
      </c>
      <c r="D63" s="509">
        <f>IF(F62+SUM(E$17:E62)=D$10,F62,D$10-SUM(E$17:E62))</f>
        <v>0</v>
      </c>
      <c r="E63" s="510">
        <f t="shared" si="5"/>
        <v>0</v>
      </c>
      <c r="F63" s="511">
        <f t="shared" si="6"/>
        <v>0</v>
      </c>
      <c r="G63" s="524">
        <f t="shared" si="7"/>
        <v>0</v>
      </c>
      <c r="H63" s="478">
        <f t="shared" si="8"/>
        <v>0</v>
      </c>
      <c r="I63" s="501">
        <f t="shared" si="1"/>
        <v>0</v>
      </c>
      <c r="J63" s="501"/>
      <c r="K63" s="513"/>
      <c r="L63" s="505">
        <f t="shared" si="2"/>
        <v>0</v>
      </c>
      <c r="M63" s="513"/>
      <c r="N63" s="505">
        <f t="shared" si="3"/>
        <v>0</v>
      </c>
      <c r="O63" s="505">
        <f t="shared" si="4"/>
        <v>0</v>
      </c>
      <c r="P63" s="279"/>
    </row>
    <row r="64" spans="2:16">
      <c r="B64" s="145" t="str">
        <f t="shared" si="0"/>
        <v/>
      </c>
      <c r="C64" s="496">
        <f>IF(D11="","-",+C63+1)</f>
        <v>2067</v>
      </c>
      <c r="D64" s="509">
        <f>IF(F63+SUM(E$17:E63)=D$10,F63,D$10-SUM(E$17:E63))</f>
        <v>0</v>
      </c>
      <c r="E64" s="510">
        <f t="shared" si="5"/>
        <v>0</v>
      </c>
      <c r="F64" s="511">
        <f t="shared" si="6"/>
        <v>0</v>
      </c>
      <c r="G64" s="524">
        <f t="shared" si="7"/>
        <v>0</v>
      </c>
      <c r="H64" s="478">
        <f t="shared" si="8"/>
        <v>0</v>
      </c>
      <c r="I64" s="501">
        <f t="shared" si="1"/>
        <v>0</v>
      </c>
      <c r="J64" s="501"/>
      <c r="K64" s="513"/>
      <c r="L64" s="505">
        <f t="shared" si="2"/>
        <v>0</v>
      </c>
      <c r="M64" s="513"/>
      <c r="N64" s="505">
        <f t="shared" si="3"/>
        <v>0</v>
      </c>
      <c r="O64" s="505">
        <f t="shared" si="4"/>
        <v>0</v>
      </c>
      <c r="P64" s="279"/>
    </row>
    <row r="65" spans="2:16">
      <c r="B65" s="145" t="str">
        <f t="shared" si="0"/>
        <v/>
      </c>
      <c r="C65" s="496">
        <f>IF(D11="","-",+C64+1)</f>
        <v>2068</v>
      </c>
      <c r="D65" s="509">
        <f>IF(F64+SUM(E$17:E64)=D$10,F64,D$10-SUM(E$17:E64))</f>
        <v>0</v>
      </c>
      <c r="E65" s="510">
        <f t="shared" si="5"/>
        <v>0</v>
      </c>
      <c r="F65" s="511">
        <f t="shared" si="6"/>
        <v>0</v>
      </c>
      <c r="G65" s="524">
        <f t="shared" si="7"/>
        <v>0</v>
      </c>
      <c r="H65" s="478">
        <f t="shared" si="8"/>
        <v>0</v>
      </c>
      <c r="I65" s="501">
        <f t="shared" si="1"/>
        <v>0</v>
      </c>
      <c r="J65" s="501"/>
      <c r="K65" s="513"/>
      <c r="L65" s="505">
        <f t="shared" si="2"/>
        <v>0</v>
      </c>
      <c r="M65" s="513"/>
      <c r="N65" s="505">
        <f t="shared" si="3"/>
        <v>0</v>
      </c>
      <c r="O65" s="505">
        <f t="shared" si="4"/>
        <v>0</v>
      </c>
      <c r="P65" s="279"/>
    </row>
    <row r="66" spans="2:16">
      <c r="B66" s="145" t="str">
        <f t="shared" si="0"/>
        <v/>
      </c>
      <c r="C66" s="496">
        <f>IF(D11="","-",+C65+1)</f>
        <v>2069</v>
      </c>
      <c r="D66" s="509">
        <f>IF(F65+SUM(E$17:E65)=D$10,F65,D$10-SUM(E$17:E65))</f>
        <v>0</v>
      </c>
      <c r="E66" s="510">
        <f t="shared" si="5"/>
        <v>0</v>
      </c>
      <c r="F66" s="511">
        <f t="shared" si="6"/>
        <v>0</v>
      </c>
      <c r="G66" s="524">
        <f t="shared" si="7"/>
        <v>0</v>
      </c>
      <c r="H66" s="478">
        <f t="shared" si="8"/>
        <v>0</v>
      </c>
      <c r="I66" s="501">
        <f t="shared" si="1"/>
        <v>0</v>
      </c>
      <c r="J66" s="501"/>
      <c r="K66" s="513"/>
      <c r="L66" s="505">
        <f t="shared" si="2"/>
        <v>0</v>
      </c>
      <c r="M66" s="513"/>
      <c r="N66" s="505">
        <f t="shared" si="3"/>
        <v>0</v>
      </c>
      <c r="O66" s="505">
        <f t="shared" si="4"/>
        <v>0</v>
      </c>
      <c r="P66" s="279"/>
    </row>
    <row r="67" spans="2:16">
      <c r="B67" s="145" t="str">
        <f t="shared" si="0"/>
        <v/>
      </c>
      <c r="C67" s="496">
        <f>IF(D11="","-",+C66+1)</f>
        <v>2070</v>
      </c>
      <c r="D67" s="509">
        <f>IF(F66+SUM(E$17:E66)=D$10,F66,D$10-SUM(E$17:E66))</f>
        <v>0</v>
      </c>
      <c r="E67" s="510">
        <f t="shared" si="5"/>
        <v>0</v>
      </c>
      <c r="F67" s="511">
        <f t="shared" si="6"/>
        <v>0</v>
      </c>
      <c r="G67" s="524">
        <f t="shared" si="7"/>
        <v>0</v>
      </c>
      <c r="H67" s="478">
        <f t="shared" si="8"/>
        <v>0</v>
      </c>
      <c r="I67" s="501">
        <f t="shared" si="1"/>
        <v>0</v>
      </c>
      <c r="J67" s="501"/>
      <c r="K67" s="513"/>
      <c r="L67" s="505">
        <f t="shared" si="2"/>
        <v>0</v>
      </c>
      <c r="M67" s="513"/>
      <c r="N67" s="505">
        <f t="shared" si="3"/>
        <v>0</v>
      </c>
      <c r="O67" s="505">
        <f t="shared" si="4"/>
        <v>0</v>
      </c>
      <c r="P67" s="279"/>
    </row>
    <row r="68" spans="2:16">
      <c r="B68" s="145" t="str">
        <f t="shared" si="0"/>
        <v/>
      </c>
      <c r="C68" s="496">
        <f>IF(D11="","-",+C67+1)</f>
        <v>2071</v>
      </c>
      <c r="D68" s="509">
        <f>IF(F67+SUM(E$17:E67)=D$10,F67,D$10-SUM(E$17:E67))</f>
        <v>0</v>
      </c>
      <c r="E68" s="510">
        <f t="shared" si="5"/>
        <v>0</v>
      </c>
      <c r="F68" s="511">
        <f t="shared" si="6"/>
        <v>0</v>
      </c>
      <c r="G68" s="524">
        <f t="shared" si="7"/>
        <v>0</v>
      </c>
      <c r="H68" s="478">
        <f t="shared" si="8"/>
        <v>0</v>
      </c>
      <c r="I68" s="501">
        <f t="shared" si="1"/>
        <v>0</v>
      </c>
      <c r="J68" s="501"/>
      <c r="K68" s="513"/>
      <c r="L68" s="505">
        <f t="shared" si="2"/>
        <v>0</v>
      </c>
      <c r="M68" s="513"/>
      <c r="N68" s="505">
        <f t="shared" si="3"/>
        <v>0</v>
      </c>
      <c r="O68" s="505">
        <f t="shared" si="4"/>
        <v>0</v>
      </c>
      <c r="P68" s="279"/>
    </row>
    <row r="69" spans="2:16">
      <c r="B69" s="145" t="str">
        <f t="shared" si="0"/>
        <v/>
      </c>
      <c r="C69" s="496">
        <f>IF(D11="","-",+C68+1)</f>
        <v>2072</v>
      </c>
      <c r="D69" s="509">
        <f>IF(F68+SUM(E$17:E68)=D$10,F68,D$10-SUM(E$17:E68))</f>
        <v>0</v>
      </c>
      <c r="E69" s="510">
        <f t="shared" si="5"/>
        <v>0</v>
      </c>
      <c r="F69" s="511">
        <f t="shared" si="6"/>
        <v>0</v>
      </c>
      <c r="G69" s="524">
        <f t="shared" si="7"/>
        <v>0</v>
      </c>
      <c r="H69" s="478">
        <f t="shared" si="8"/>
        <v>0</v>
      </c>
      <c r="I69" s="501">
        <f t="shared" si="1"/>
        <v>0</v>
      </c>
      <c r="J69" s="501"/>
      <c r="K69" s="513"/>
      <c r="L69" s="505">
        <f t="shared" si="2"/>
        <v>0</v>
      </c>
      <c r="M69" s="513"/>
      <c r="N69" s="505">
        <f t="shared" si="3"/>
        <v>0</v>
      </c>
      <c r="O69" s="505">
        <f t="shared" si="4"/>
        <v>0</v>
      </c>
      <c r="P69" s="279"/>
    </row>
    <row r="70" spans="2:16">
      <c r="B70" s="145" t="str">
        <f t="shared" si="0"/>
        <v/>
      </c>
      <c r="C70" s="496">
        <f>IF(D11="","-",+C69+1)</f>
        <v>2073</v>
      </c>
      <c r="D70" s="509">
        <f>IF(F69+SUM(E$17:E69)=D$10,F69,D$10-SUM(E$17:E69))</f>
        <v>0</v>
      </c>
      <c r="E70" s="510">
        <f t="shared" si="5"/>
        <v>0</v>
      </c>
      <c r="F70" s="511">
        <f t="shared" si="6"/>
        <v>0</v>
      </c>
      <c r="G70" s="524">
        <f t="shared" si="7"/>
        <v>0</v>
      </c>
      <c r="H70" s="478">
        <f t="shared" si="8"/>
        <v>0</v>
      </c>
      <c r="I70" s="501">
        <f t="shared" si="1"/>
        <v>0</v>
      </c>
      <c r="J70" s="501"/>
      <c r="K70" s="513"/>
      <c r="L70" s="505">
        <f t="shared" si="2"/>
        <v>0</v>
      </c>
      <c r="M70" s="513"/>
      <c r="N70" s="505">
        <f t="shared" si="3"/>
        <v>0</v>
      </c>
      <c r="O70" s="505">
        <f t="shared" si="4"/>
        <v>0</v>
      </c>
      <c r="P70" s="279"/>
    </row>
    <row r="71" spans="2:16">
      <c r="B71" s="145" t="str">
        <f t="shared" si="0"/>
        <v/>
      </c>
      <c r="C71" s="496">
        <f>IF(D11="","-",+C70+1)</f>
        <v>2074</v>
      </c>
      <c r="D71" s="509">
        <f>IF(F70+SUM(E$17:E70)=D$10,F70,D$10-SUM(E$17:E70))</f>
        <v>0</v>
      </c>
      <c r="E71" s="510">
        <f t="shared" si="5"/>
        <v>0</v>
      </c>
      <c r="F71" s="511">
        <f t="shared" si="6"/>
        <v>0</v>
      </c>
      <c r="G71" s="524">
        <f t="shared" si="7"/>
        <v>0</v>
      </c>
      <c r="H71" s="478">
        <f t="shared" si="8"/>
        <v>0</v>
      </c>
      <c r="I71" s="501">
        <f t="shared" si="1"/>
        <v>0</v>
      </c>
      <c r="J71" s="501"/>
      <c r="K71" s="513"/>
      <c r="L71" s="505">
        <f t="shared" si="2"/>
        <v>0</v>
      </c>
      <c r="M71" s="513"/>
      <c r="N71" s="505">
        <f t="shared" si="3"/>
        <v>0</v>
      </c>
      <c r="O71" s="505">
        <f t="shared" si="4"/>
        <v>0</v>
      </c>
      <c r="P71" s="279"/>
    </row>
    <row r="72" spans="2:16">
      <c r="C72" s="496">
        <f>IF(D12="","-",+C71+1)</f>
        <v>2075</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5" thickBot="1">
      <c r="B73" s="145" t="str">
        <f>IF(D73=F71,"","IU")</f>
        <v/>
      </c>
      <c r="C73" s="525">
        <f>IF(D13="","-",+C72+1)</f>
        <v>2076</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c r="C74" s="350" t="s">
        <v>75</v>
      </c>
      <c r="D74" s="295"/>
      <c r="E74" s="295">
        <f>SUM(E17:E73)</f>
        <v>3573404.9999999995</v>
      </c>
      <c r="F74" s="295"/>
      <c r="G74" s="295">
        <f>SUM(G17:G73)</f>
        <v>10004782.560529212</v>
      </c>
      <c r="H74" s="295">
        <f>SUM(H17:H73)</f>
        <v>10004782.560529212</v>
      </c>
      <c r="I74" s="295">
        <f>SUM(I17:I73)</f>
        <v>0</v>
      </c>
      <c r="J74" s="295"/>
      <c r="K74" s="295"/>
      <c r="L74" s="295"/>
      <c r="M74" s="295"/>
      <c r="N74" s="295"/>
      <c r="O74" s="279"/>
      <c r="P74" s="279"/>
    </row>
    <row r="75" spans="2:16">
      <c r="D75" s="293"/>
      <c r="E75" s="244"/>
      <c r="F75" s="244"/>
      <c r="G75" s="244"/>
      <c r="H75" s="326"/>
      <c r="I75" s="326"/>
      <c r="J75" s="295"/>
      <c r="K75" s="326"/>
      <c r="L75" s="326"/>
      <c r="M75" s="326"/>
      <c r="N75" s="326"/>
      <c r="O75" s="244"/>
      <c r="P75" s="244"/>
    </row>
    <row r="76" spans="2:16">
      <c r="C76" s="533" t="s">
        <v>95</v>
      </c>
      <c r="D76" s="293"/>
      <c r="E76" s="244"/>
      <c r="F76" s="244"/>
      <c r="G76" s="244"/>
      <c r="H76" s="326"/>
      <c r="I76" s="326"/>
      <c r="J76" s="295"/>
      <c r="K76" s="326"/>
      <c r="L76" s="326"/>
      <c r="M76" s="326"/>
      <c r="N76" s="326"/>
      <c r="O76" s="244"/>
      <c r="P76" s="244"/>
    </row>
    <row r="77" spans="2:16">
      <c r="C77" s="455" t="s">
        <v>76</v>
      </c>
      <c r="D77" s="293"/>
      <c r="E77" s="244"/>
      <c r="F77" s="244"/>
      <c r="G77" s="244"/>
      <c r="H77" s="326"/>
      <c r="I77" s="326"/>
      <c r="J77" s="295"/>
      <c r="K77" s="326"/>
      <c r="L77" s="326"/>
      <c r="M77" s="326"/>
      <c r="N77" s="326"/>
      <c r="O77" s="279"/>
      <c r="P77" s="279"/>
    </row>
    <row r="78" spans="2:16">
      <c r="C78" s="455" t="s">
        <v>77</v>
      </c>
      <c r="D78" s="350"/>
      <c r="E78" s="350"/>
      <c r="F78" s="350"/>
      <c r="G78" s="295"/>
      <c r="H78" s="295"/>
      <c r="I78" s="351"/>
      <c r="J78" s="351"/>
      <c r="K78" s="351"/>
      <c r="L78" s="351"/>
      <c r="M78" s="351"/>
      <c r="N78" s="351"/>
      <c r="O78" s="279"/>
      <c r="P78" s="279"/>
    </row>
    <row r="79" spans="2:16">
      <c r="C79" s="455"/>
      <c r="D79" s="350"/>
      <c r="E79" s="350"/>
      <c r="F79" s="350"/>
      <c r="G79" s="295"/>
      <c r="H79" s="295"/>
      <c r="I79" s="351"/>
      <c r="J79" s="351"/>
      <c r="K79" s="351"/>
      <c r="L79" s="351"/>
      <c r="M79" s="351"/>
      <c r="N79" s="351"/>
      <c r="O79" s="279"/>
      <c r="P79" s="244"/>
    </row>
    <row r="80" spans="2:16">
      <c r="B80" s="244"/>
      <c r="C80" s="249"/>
      <c r="D80" s="293"/>
      <c r="E80" s="244"/>
      <c r="F80" s="348"/>
      <c r="G80" s="244"/>
      <c r="H80" s="326"/>
      <c r="I80" s="244"/>
      <c r="J80" s="279"/>
      <c r="K80" s="244"/>
      <c r="L80" s="244"/>
      <c r="M80" s="244"/>
      <c r="N80" s="244"/>
      <c r="O80" s="244"/>
      <c r="P80" s="244"/>
    </row>
    <row r="81" spans="1:16" ht="18">
      <c r="B81" s="244"/>
      <c r="C81" s="536"/>
      <c r="D81" s="293"/>
      <c r="E81" s="244"/>
      <c r="F81" s="348"/>
      <c r="G81" s="244"/>
      <c r="H81" s="326"/>
      <c r="I81" s="244"/>
      <c r="J81" s="279"/>
      <c r="K81" s="244"/>
      <c r="L81" s="244"/>
      <c r="M81" s="244"/>
      <c r="N81" s="244"/>
      <c r="P81" s="537" t="s">
        <v>128</v>
      </c>
    </row>
    <row r="82" spans="1:16">
      <c r="B82" s="244"/>
      <c r="C82" s="249"/>
      <c r="D82" s="293"/>
      <c r="E82" s="244"/>
      <c r="F82" s="348"/>
      <c r="G82" s="244"/>
      <c r="H82" s="326"/>
      <c r="I82" s="244"/>
      <c r="J82" s="279"/>
      <c r="K82" s="244"/>
      <c r="L82" s="244"/>
      <c r="M82" s="244"/>
      <c r="N82" s="244"/>
      <c r="O82" s="244"/>
      <c r="P82" s="244"/>
    </row>
    <row r="83" spans="1:16">
      <c r="B83" s="244"/>
      <c r="C83" s="249"/>
      <c r="D83" s="293"/>
      <c r="E83" s="244"/>
      <c r="F83" s="348"/>
      <c r="G83" s="244"/>
      <c r="H83" s="326"/>
      <c r="I83" s="244"/>
      <c r="J83" s="279"/>
      <c r="K83" s="244"/>
      <c r="L83" s="244"/>
      <c r="M83" s="244"/>
      <c r="N83" s="244"/>
      <c r="O83" s="244"/>
      <c r="P83" s="244"/>
    </row>
    <row r="84" spans="1:16" ht="20.25">
      <c r="A84" s="438" t="s">
        <v>190</v>
      </c>
      <c r="B84" s="244"/>
      <c r="C84" s="249"/>
      <c r="D84" s="293"/>
      <c r="E84" s="244"/>
      <c r="F84" s="340"/>
      <c r="G84" s="340"/>
      <c r="H84" s="244"/>
      <c r="I84" s="326"/>
      <c r="K84" s="221"/>
      <c r="L84" s="439"/>
      <c r="M84" s="439"/>
      <c r="P84" s="439" t="str">
        <f ca="1">P1</f>
        <v>OKT Project 20 of 20</v>
      </c>
    </row>
    <row r="85" spans="1:16" ht="18">
      <c r="B85" s="244"/>
      <c r="C85" s="244"/>
      <c r="D85" s="293"/>
      <c r="E85" s="244"/>
      <c r="F85" s="244"/>
      <c r="G85" s="244"/>
      <c r="H85" s="244"/>
      <c r="I85" s="326"/>
      <c r="J85" s="244"/>
      <c r="K85" s="279"/>
      <c r="L85" s="244"/>
      <c r="M85" s="244"/>
      <c r="P85" s="442" t="s">
        <v>132</v>
      </c>
    </row>
    <row r="86" spans="1:16" ht="18.75" thickBot="1">
      <c r="B86" s="234" t="s">
        <v>42</v>
      </c>
      <c r="C86" s="538" t="s">
        <v>81</v>
      </c>
      <c r="D86" s="293"/>
      <c r="E86" s="244"/>
      <c r="F86" s="244"/>
      <c r="G86" s="244"/>
      <c r="H86" s="244"/>
      <c r="I86" s="326"/>
      <c r="J86" s="326"/>
      <c r="K86" s="295"/>
      <c r="L86" s="326"/>
      <c r="M86" s="326"/>
      <c r="N86" s="326"/>
      <c r="O86" s="295"/>
      <c r="P86" s="244"/>
    </row>
    <row r="87" spans="1:16" ht="15.75" thickBot="1">
      <c r="C87" s="305"/>
      <c r="D87" s="293"/>
      <c r="E87" s="244"/>
      <c r="F87" s="244"/>
      <c r="G87" s="244"/>
      <c r="H87" s="244"/>
      <c r="I87" s="326"/>
      <c r="J87" s="326"/>
      <c r="K87" s="295"/>
      <c r="L87" s="539">
        <f>+J93</f>
        <v>2021</v>
      </c>
      <c r="M87" s="540" t="s">
        <v>9</v>
      </c>
      <c r="N87" s="541" t="s">
        <v>134</v>
      </c>
      <c r="O87" s="542" t="s">
        <v>11</v>
      </c>
      <c r="P87" s="244"/>
    </row>
    <row r="88" spans="1:16" ht="15">
      <c r="C88" s="233" t="s">
        <v>44</v>
      </c>
      <c r="D88" s="293"/>
      <c r="E88" s="244"/>
      <c r="F88" s="244"/>
      <c r="G88" s="244"/>
      <c r="H88" s="445"/>
      <c r="I88" s="244" t="s">
        <v>45</v>
      </c>
      <c r="J88" s="244"/>
      <c r="K88" s="543"/>
      <c r="L88" s="544" t="s">
        <v>253</v>
      </c>
      <c r="M88" s="545">
        <f>IF(J93&lt;D11,0,VLOOKUP(J93,C17:O73,9))</f>
        <v>541054.66812252079</v>
      </c>
      <c r="N88" s="545">
        <f>IF(J93&lt;D11,0,VLOOKUP(J93,C17:O73,11))</f>
        <v>541054.66812252079</v>
      </c>
      <c r="O88" s="546">
        <f>+N88-M88</f>
        <v>0</v>
      </c>
      <c r="P88" s="244"/>
    </row>
    <row r="89" spans="1:16" ht="15.75">
      <c r="C89" s="236"/>
      <c r="D89" s="293"/>
      <c r="E89" s="244"/>
      <c r="F89" s="244"/>
      <c r="G89" s="244"/>
      <c r="H89" s="244"/>
      <c r="I89" s="450"/>
      <c r="J89" s="450"/>
      <c r="K89" s="547"/>
      <c r="L89" s="548" t="s">
        <v>254</v>
      </c>
      <c r="M89" s="549">
        <f>IF(J93&lt;D11,0,VLOOKUP(J93,C100:P155,6))</f>
        <v>554268.97375299619</v>
      </c>
      <c r="N89" s="549">
        <f>IF(J93&lt;D11,0,VLOOKUP(J93,C100:P155,7))</f>
        <v>554268.97375299619</v>
      </c>
      <c r="O89" s="550">
        <f>+N89-M89</f>
        <v>0</v>
      </c>
      <c r="P89" s="244"/>
    </row>
    <row r="90" spans="1:16" ht="13.5" thickBot="1">
      <c r="C90" s="455" t="s">
        <v>82</v>
      </c>
      <c r="D90" s="551" t="str">
        <f>+D7</f>
        <v>Keystone Dam - Wekiwa 138 kV</v>
      </c>
      <c r="E90" s="244"/>
      <c r="F90" s="244"/>
      <c r="G90" s="244"/>
      <c r="H90" s="244"/>
      <c r="I90" s="326"/>
      <c r="J90" s="326"/>
      <c r="K90" s="552"/>
      <c r="L90" s="553" t="s">
        <v>135</v>
      </c>
      <c r="M90" s="554">
        <f>+M89-M88</f>
        <v>13214.305630475399</v>
      </c>
      <c r="N90" s="554">
        <f>+N89-N88</f>
        <v>13214.305630475399</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TP2015118</v>
      </c>
      <c r="E92" s="559"/>
      <c r="F92" s="559"/>
      <c r="G92" s="559"/>
      <c r="H92" s="559"/>
      <c r="I92" s="559"/>
      <c r="J92" s="559"/>
      <c r="K92" s="561"/>
      <c r="P92" s="469"/>
    </row>
    <row r="93" spans="1:16">
      <c r="C93" s="473" t="s">
        <v>49</v>
      </c>
      <c r="D93" s="475">
        <v>3608350</v>
      </c>
      <c r="E93" s="249" t="s">
        <v>84</v>
      </c>
      <c r="H93" s="409"/>
      <c r="I93" s="409"/>
      <c r="J93" s="472">
        <f>+'OKT.WS.G.BPU.ATRR.True-up'!M16</f>
        <v>2021</v>
      </c>
      <c r="K93" s="468"/>
      <c r="L93" s="295" t="s">
        <v>85</v>
      </c>
      <c r="P93" s="279"/>
    </row>
    <row r="94" spans="1:16">
      <c r="C94" s="473" t="s">
        <v>52</v>
      </c>
      <c r="D94" s="562">
        <f>IF(D11="","",D11)</f>
        <v>2020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c r="C95" s="473" t="s">
        <v>54</v>
      </c>
      <c r="D95" s="562">
        <f>IF(D12="","",D12)</f>
        <v>6</v>
      </c>
      <c r="E95" s="473" t="s">
        <v>55</v>
      </c>
      <c r="F95" s="409"/>
      <c r="G95" s="409"/>
      <c r="J95" s="477">
        <f>'OKT.WS.G.BPU.ATRR.True-up'!$F$81</f>
        <v>0.11796201313639214</v>
      </c>
      <c r="K95" s="414"/>
      <c r="L95" s="145" t="s">
        <v>86</v>
      </c>
      <c r="P95" s="279"/>
    </row>
    <row r="96" spans="1:16">
      <c r="C96" s="473" t="s">
        <v>57</v>
      </c>
      <c r="D96" s="475">
        <f>'OKT.WS.G.BPU.ATRR.True-up'!F$93</f>
        <v>25</v>
      </c>
      <c r="E96" s="473" t="s">
        <v>58</v>
      </c>
      <c r="F96" s="409"/>
      <c r="G96" s="409"/>
      <c r="J96" s="477">
        <f>IF(H88="",J95,'OKT.WS.G.BPU.ATRR.True-up'!$F$80)</f>
        <v>0.11796201313639214</v>
      </c>
      <c r="K96" s="292"/>
      <c r="L96" s="295" t="s">
        <v>59</v>
      </c>
      <c r="M96" s="292"/>
      <c r="N96" s="292"/>
      <c r="O96" s="292"/>
      <c r="P96" s="279"/>
    </row>
    <row r="97" spans="1:16" ht="13.5" thickBot="1">
      <c r="C97" s="473" t="s">
        <v>60</v>
      </c>
      <c r="D97" s="563" t="str">
        <f>+D14</f>
        <v>No</v>
      </c>
      <c r="E97" s="564" t="s">
        <v>62</v>
      </c>
      <c r="F97" s="565"/>
      <c r="G97" s="565"/>
      <c r="H97" s="566"/>
      <c r="I97" s="566"/>
      <c r="J97" s="459">
        <f>IF(D93=0,0,D93/D96)</f>
        <v>144334</v>
      </c>
      <c r="K97" s="295"/>
      <c r="L97" s="295"/>
      <c r="M97" s="295"/>
      <c r="N97" s="295"/>
      <c r="O97" s="295"/>
      <c r="P97" s="279"/>
    </row>
    <row r="98" spans="1:16" ht="38.25">
      <c r="A98" s="644"/>
      <c r="B98" s="644"/>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c r="B100" s="145" t="str">
        <f t="shared" ref="B100:B155" si="9">IF(D100=F99,"","IU")</f>
        <v>IU</v>
      </c>
      <c r="C100" s="496">
        <f>IF(D94= "","-",D94)</f>
        <v>2020</v>
      </c>
      <c r="D100" s="497">
        <v>0</v>
      </c>
      <c r="E100" s="499">
        <v>61039.07142857142</v>
      </c>
      <c r="F100" s="506">
        <v>3357148.9285714286</v>
      </c>
      <c r="G100" s="506">
        <v>1678574.4642857143</v>
      </c>
      <c r="H100" s="506">
        <v>239662.05345541207</v>
      </c>
      <c r="I100" s="500">
        <v>239662.05345541207</v>
      </c>
      <c r="J100" s="505">
        <f t="shared" ref="J100:J131" si="10">+I100-H100</f>
        <v>0</v>
      </c>
      <c r="K100" s="505"/>
      <c r="L100" s="507">
        <f>+H100</f>
        <v>239662.05345541207</v>
      </c>
      <c r="M100" s="505">
        <f t="shared" ref="M100:M131" si="11">IF(L100&lt;&gt;0,+H100-L100,0)</f>
        <v>0</v>
      </c>
      <c r="N100" s="507">
        <f>+I100</f>
        <v>239662.05345541207</v>
      </c>
      <c r="O100" s="587">
        <f t="shared" ref="O100:O131" si="12">IF(N100&lt;&gt;0,+I100-N100,0)</f>
        <v>0</v>
      </c>
      <c r="P100" s="505">
        <f t="shared" ref="P100:P131" si="13">+O100-M100</f>
        <v>0</v>
      </c>
    </row>
    <row r="101" spans="1:16">
      <c r="B101" s="145" t="str">
        <f t="shared" si="9"/>
        <v>IU</v>
      </c>
      <c r="C101" s="496">
        <f>IF(D94="","-",+C100+1)</f>
        <v>2021</v>
      </c>
      <c r="D101" s="350">
        <f>IF(F100+SUM(E$100:E100)=D$93,F100,D$93-SUM(E$100:E100))</f>
        <v>3547310.9285714286</v>
      </c>
      <c r="E101" s="510">
        <f t="shared" ref="E101:E155" si="14">IF(+J$97&lt;F100,J$97,D101)</f>
        <v>144334</v>
      </c>
      <c r="F101" s="511">
        <f t="shared" ref="F101:F155" si="15">+D101-E101</f>
        <v>3402976.9285714286</v>
      </c>
      <c r="G101" s="511">
        <f t="shared" ref="G101:G155" si="16">+(F101+D101)/2</f>
        <v>3475143.9285714286</v>
      </c>
      <c r="H101" s="646">
        <f t="shared" ref="H101:H131" si="17">(D101+F101)/2*J$95+E101</f>
        <v>554268.97375299619</v>
      </c>
      <c r="I101" s="628">
        <f t="shared" ref="I101:I155" si="18">+J$96*G101+E101</f>
        <v>554268.97375299619</v>
      </c>
      <c r="J101" s="505">
        <f t="shared" si="10"/>
        <v>0</v>
      </c>
      <c r="K101" s="505"/>
      <c r="L101" s="513"/>
      <c r="M101" s="505">
        <f t="shared" si="11"/>
        <v>0</v>
      </c>
      <c r="N101" s="513"/>
      <c r="O101" s="505">
        <f t="shared" si="12"/>
        <v>0</v>
      </c>
      <c r="P101" s="505">
        <f t="shared" si="13"/>
        <v>0</v>
      </c>
    </row>
    <row r="102" spans="1:16">
      <c r="B102" s="145" t="str">
        <f t="shared" si="9"/>
        <v/>
      </c>
      <c r="C102" s="496">
        <f>IF(D94="","-",+C101+1)</f>
        <v>2022</v>
      </c>
      <c r="D102" s="350">
        <f>IF(F101+SUM(E$100:E101)=D$93,F101,D$93-SUM(E$100:E101))</f>
        <v>3402976.9285714286</v>
      </c>
      <c r="E102" s="510">
        <f t="shared" si="14"/>
        <v>144334</v>
      </c>
      <c r="F102" s="511">
        <f t="shared" si="15"/>
        <v>3258642.9285714286</v>
      </c>
      <c r="G102" s="511">
        <f t="shared" si="16"/>
        <v>3330809.9285714286</v>
      </c>
      <c r="H102" s="646">
        <f t="shared" si="17"/>
        <v>537243.0445489682</v>
      </c>
      <c r="I102" s="628">
        <f t="shared" si="18"/>
        <v>537243.0445489682</v>
      </c>
      <c r="J102" s="505">
        <f t="shared" si="10"/>
        <v>0</v>
      </c>
      <c r="K102" s="505"/>
      <c r="L102" s="513"/>
      <c r="M102" s="505">
        <f t="shared" si="11"/>
        <v>0</v>
      </c>
      <c r="N102" s="513"/>
      <c r="O102" s="505">
        <f t="shared" si="12"/>
        <v>0</v>
      </c>
      <c r="P102" s="505">
        <f t="shared" si="13"/>
        <v>0</v>
      </c>
    </row>
    <row r="103" spans="1:16">
      <c r="B103" s="145" t="str">
        <f t="shared" si="9"/>
        <v/>
      </c>
      <c r="C103" s="496">
        <f>IF(D94="","-",+C102+1)</f>
        <v>2023</v>
      </c>
      <c r="D103" s="350">
        <f>IF(F102+SUM(E$100:E102)=D$93,F102,D$93-SUM(E$100:E102))</f>
        <v>3258642.9285714286</v>
      </c>
      <c r="E103" s="510">
        <f t="shared" si="14"/>
        <v>144334</v>
      </c>
      <c r="F103" s="511">
        <f t="shared" si="15"/>
        <v>3114308.9285714286</v>
      </c>
      <c r="G103" s="511">
        <f t="shared" si="16"/>
        <v>3186475.9285714286</v>
      </c>
      <c r="H103" s="646">
        <f t="shared" si="17"/>
        <v>520217.11534494022</v>
      </c>
      <c r="I103" s="628">
        <f t="shared" si="18"/>
        <v>520217.11534494022</v>
      </c>
      <c r="J103" s="505">
        <f t="shared" si="10"/>
        <v>0</v>
      </c>
      <c r="K103" s="505"/>
      <c r="L103" s="513"/>
      <c r="M103" s="505">
        <f t="shared" si="11"/>
        <v>0</v>
      </c>
      <c r="N103" s="513"/>
      <c r="O103" s="505">
        <f t="shared" si="12"/>
        <v>0</v>
      </c>
      <c r="P103" s="505">
        <f t="shared" si="13"/>
        <v>0</v>
      </c>
    </row>
    <row r="104" spans="1:16">
      <c r="B104" s="145" t="str">
        <f t="shared" si="9"/>
        <v/>
      </c>
      <c r="C104" s="496">
        <f>IF(D94="","-",+C103+1)</f>
        <v>2024</v>
      </c>
      <c r="D104" s="350">
        <f>IF(F103+SUM(E$100:E103)=D$93,F103,D$93-SUM(E$100:E103))</f>
        <v>3114308.9285714286</v>
      </c>
      <c r="E104" s="510">
        <f t="shared" si="14"/>
        <v>144334</v>
      </c>
      <c r="F104" s="511">
        <f t="shared" si="15"/>
        <v>2969974.9285714286</v>
      </c>
      <c r="G104" s="511">
        <f t="shared" si="16"/>
        <v>3042141.9285714286</v>
      </c>
      <c r="H104" s="646">
        <f t="shared" si="17"/>
        <v>503191.18614091218</v>
      </c>
      <c r="I104" s="628">
        <f t="shared" si="18"/>
        <v>503191.18614091218</v>
      </c>
      <c r="J104" s="505">
        <f t="shared" si="10"/>
        <v>0</v>
      </c>
      <c r="K104" s="505"/>
      <c r="L104" s="513"/>
      <c r="M104" s="505">
        <f t="shared" si="11"/>
        <v>0</v>
      </c>
      <c r="N104" s="513"/>
      <c r="O104" s="505">
        <f t="shared" si="12"/>
        <v>0</v>
      </c>
      <c r="P104" s="505">
        <f t="shared" si="13"/>
        <v>0</v>
      </c>
    </row>
    <row r="105" spans="1:16">
      <c r="B105" s="145" t="str">
        <f t="shared" si="9"/>
        <v/>
      </c>
      <c r="C105" s="496">
        <f>IF(D94="","-",+C104+1)</f>
        <v>2025</v>
      </c>
      <c r="D105" s="350">
        <f>IF(F104+SUM(E$100:E104)=D$93,F104,D$93-SUM(E$100:E104))</f>
        <v>2969974.9285714286</v>
      </c>
      <c r="E105" s="510">
        <f t="shared" si="14"/>
        <v>144334</v>
      </c>
      <c r="F105" s="511">
        <f t="shared" si="15"/>
        <v>2825640.9285714286</v>
      </c>
      <c r="G105" s="511">
        <f t="shared" si="16"/>
        <v>2897807.9285714286</v>
      </c>
      <c r="H105" s="646">
        <f t="shared" si="17"/>
        <v>486165.25693688414</v>
      </c>
      <c r="I105" s="628">
        <f t="shared" si="18"/>
        <v>486165.25693688414</v>
      </c>
      <c r="J105" s="505">
        <f t="shared" si="10"/>
        <v>0</v>
      </c>
      <c r="K105" s="505"/>
      <c r="L105" s="513"/>
      <c r="M105" s="505">
        <f t="shared" si="11"/>
        <v>0</v>
      </c>
      <c r="N105" s="513"/>
      <c r="O105" s="505">
        <f t="shared" si="12"/>
        <v>0</v>
      </c>
      <c r="P105" s="505">
        <f t="shared" si="13"/>
        <v>0</v>
      </c>
    </row>
    <row r="106" spans="1:16">
      <c r="B106" s="145" t="str">
        <f t="shared" si="9"/>
        <v/>
      </c>
      <c r="C106" s="496">
        <f>IF(D94="","-",+C105+1)</f>
        <v>2026</v>
      </c>
      <c r="D106" s="350">
        <f>IF(F105+SUM(E$100:E105)=D$93,F105,D$93-SUM(E$100:E105))</f>
        <v>2825640.9285714286</v>
      </c>
      <c r="E106" s="510">
        <f t="shared" si="14"/>
        <v>144334</v>
      </c>
      <c r="F106" s="511">
        <f t="shared" si="15"/>
        <v>2681306.9285714286</v>
      </c>
      <c r="G106" s="511">
        <f t="shared" si="16"/>
        <v>2753473.9285714286</v>
      </c>
      <c r="H106" s="646">
        <f t="shared" si="17"/>
        <v>469139.32773285615</v>
      </c>
      <c r="I106" s="628">
        <f t="shared" si="18"/>
        <v>469139.32773285615</v>
      </c>
      <c r="J106" s="505">
        <f t="shared" si="10"/>
        <v>0</v>
      </c>
      <c r="K106" s="505"/>
      <c r="L106" s="513"/>
      <c r="M106" s="505">
        <f t="shared" si="11"/>
        <v>0</v>
      </c>
      <c r="N106" s="513"/>
      <c r="O106" s="505">
        <f t="shared" si="12"/>
        <v>0</v>
      </c>
      <c r="P106" s="505">
        <f t="shared" si="13"/>
        <v>0</v>
      </c>
    </row>
    <row r="107" spans="1:16">
      <c r="B107" s="145" t="str">
        <f t="shared" si="9"/>
        <v/>
      </c>
      <c r="C107" s="496">
        <f>IF(D94="","-",+C106+1)</f>
        <v>2027</v>
      </c>
      <c r="D107" s="350">
        <f>IF(F106+SUM(E$100:E106)=D$93,F106,D$93-SUM(E$100:E106))</f>
        <v>2681306.9285714286</v>
      </c>
      <c r="E107" s="510">
        <f t="shared" si="14"/>
        <v>144334</v>
      </c>
      <c r="F107" s="511">
        <f t="shared" si="15"/>
        <v>2536972.9285714286</v>
      </c>
      <c r="G107" s="511">
        <f t="shared" si="16"/>
        <v>2609139.9285714286</v>
      </c>
      <c r="H107" s="646">
        <f t="shared" si="17"/>
        <v>452113.39852882811</v>
      </c>
      <c r="I107" s="628">
        <f t="shared" si="18"/>
        <v>452113.39852882811</v>
      </c>
      <c r="J107" s="505">
        <f t="shared" si="10"/>
        <v>0</v>
      </c>
      <c r="K107" s="505"/>
      <c r="L107" s="513"/>
      <c r="M107" s="505">
        <f t="shared" si="11"/>
        <v>0</v>
      </c>
      <c r="N107" s="513"/>
      <c r="O107" s="505">
        <f t="shared" si="12"/>
        <v>0</v>
      </c>
      <c r="P107" s="505">
        <f t="shared" si="13"/>
        <v>0</v>
      </c>
    </row>
    <row r="108" spans="1:16">
      <c r="B108" s="145" t="str">
        <f t="shared" si="9"/>
        <v/>
      </c>
      <c r="C108" s="496">
        <f>IF(D94="","-",+C107+1)</f>
        <v>2028</v>
      </c>
      <c r="D108" s="350">
        <f>IF(F107+SUM(E$100:E107)=D$93,F107,D$93-SUM(E$100:E107))</f>
        <v>2536972.9285714286</v>
      </c>
      <c r="E108" s="510">
        <f t="shared" si="14"/>
        <v>144334</v>
      </c>
      <c r="F108" s="511">
        <f t="shared" si="15"/>
        <v>2392638.9285714286</v>
      </c>
      <c r="G108" s="511">
        <f t="shared" si="16"/>
        <v>2464805.9285714286</v>
      </c>
      <c r="H108" s="646">
        <f t="shared" si="17"/>
        <v>435087.46932480007</v>
      </c>
      <c r="I108" s="628">
        <f t="shared" si="18"/>
        <v>435087.46932480007</v>
      </c>
      <c r="J108" s="505">
        <f t="shared" si="10"/>
        <v>0</v>
      </c>
      <c r="K108" s="505"/>
      <c r="L108" s="513"/>
      <c r="M108" s="505">
        <f t="shared" si="11"/>
        <v>0</v>
      </c>
      <c r="N108" s="513"/>
      <c r="O108" s="505">
        <f t="shared" si="12"/>
        <v>0</v>
      </c>
      <c r="P108" s="505">
        <f t="shared" si="13"/>
        <v>0</v>
      </c>
    </row>
    <row r="109" spans="1:16">
      <c r="B109" s="145" t="str">
        <f t="shared" si="9"/>
        <v/>
      </c>
      <c r="C109" s="496">
        <f>IF(D94="","-",+C108+1)</f>
        <v>2029</v>
      </c>
      <c r="D109" s="350">
        <f>IF(F108+SUM(E$100:E108)=D$93,F108,D$93-SUM(E$100:E108))</f>
        <v>2392638.9285714286</v>
      </c>
      <c r="E109" s="510">
        <f t="shared" si="14"/>
        <v>144334</v>
      </c>
      <c r="F109" s="511">
        <f t="shared" si="15"/>
        <v>2248304.9285714286</v>
      </c>
      <c r="G109" s="511">
        <f t="shared" si="16"/>
        <v>2320471.9285714286</v>
      </c>
      <c r="H109" s="646">
        <f t="shared" si="17"/>
        <v>418061.54012077209</v>
      </c>
      <c r="I109" s="628">
        <f t="shared" si="18"/>
        <v>418061.54012077209</v>
      </c>
      <c r="J109" s="505">
        <f t="shared" si="10"/>
        <v>0</v>
      </c>
      <c r="K109" s="505"/>
      <c r="L109" s="513"/>
      <c r="M109" s="505">
        <f t="shared" si="11"/>
        <v>0</v>
      </c>
      <c r="N109" s="513"/>
      <c r="O109" s="505">
        <f t="shared" si="12"/>
        <v>0</v>
      </c>
      <c r="P109" s="505">
        <f t="shared" si="13"/>
        <v>0</v>
      </c>
    </row>
    <row r="110" spans="1:16">
      <c r="B110" s="145" t="str">
        <f t="shared" si="9"/>
        <v/>
      </c>
      <c r="C110" s="496">
        <f>IF(D94="","-",+C109+1)</f>
        <v>2030</v>
      </c>
      <c r="D110" s="350">
        <f>IF(F109+SUM(E$100:E109)=D$93,F109,D$93-SUM(E$100:E109))</f>
        <v>2248304.9285714286</v>
      </c>
      <c r="E110" s="510">
        <f t="shared" si="14"/>
        <v>144334</v>
      </c>
      <c r="F110" s="511">
        <f t="shared" si="15"/>
        <v>2103970.9285714286</v>
      </c>
      <c r="G110" s="511">
        <f t="shared" si="16"/>
        <v>2176137.9285714286</v>
      </c>
      <c r="H110" s="646">
        <f t="shared" si="17"/>
        <v>401035.61091674404</v>
      </c>
      <c r="I110" s="628">
        <f t="shared" si="18"/>
        <v>401035.61091674404</v>
      </c>
      <c r="J110" s="505">
        <f t="shared" si="10"/>
        <v>0</v>
      </c>
      <c r="K110" s="505"/>
      <c r="L110" s="513"/>
      <c r="M110" s="505">
        <f t="shared" si="11"/>
        <v>0</v>
      </c>
      <c r="N110" s="513"/>
      <c r="O110" s="505">
        <f t="shared" si="12"/>
        <v>0</v>
      </c>
      <c r="P110" s="505">
        <f t="shared" si="13"/>
        <v>0</v>
      </c>
    </row>
    <row r="111" spans="1:16">
      <c r="B111" s="145" t="str">
        <f t="shared" si="9"/>
        <v/>
      </c>
      <c r="C111" s="496">
        <f>IF(D94="","-",+C110+1)</f>
        <v>2031</v>
      </c>
      <c r="D111" s="350">
        <f>IF(F110+SUM(E$100:E110)=D$93,F110,D$93-SUM(E$100:E110))</f>
        <v>2103970.9285714286</v>
      </c>
      <c r="E111" s="510">
        <f t="shared" si="14"/>
        <v>144334</v>
      </c>
      <c r="F111" s="511">
        <f t="shared" si="15"/>
        <v>1959636.9285714286</v>
      </c>
      <c r="G111" s="511">
        <f t="shared" si="16"/>
        <v>2031803.9285714286</v>
      </c>
      <c r="H111" s="646">
        <f t="shared" si="17"/>
        <v>384009.681712716</v>
      </c>
      <c r="I111" s="628">
        <f t="shared" si="18"/>
        <v>384009.681712716</v>
      </c>
      <c r="J111" s="505">
        <f t="shared" si="10"/>
        <v>0</v>
      </c>
      <c r="K111" s="505"/>
      <c r="L111" s="513"/>
      <c r="M111" s="505">
        <f t="shared" si="11"/>
        <v>0</v>
      </c>
      <c r="N111" s="513"/>
      <c r="O111" s="505">
        <f t="shared" si="12"/>
        <v>0</v>
      </c>
      <c r="P111" s="505">
        <f t="shared" si="13"/>
        <v>0</v>
      </c>
    </row>
    <row r="112" spans="1:16">
      <c r="B112" s="145" t="str">
        <f t="shared" si="9"/>
        <v/>
      </c>
      <c r="C112" s="496">
        <f>IF(D94="","-",+C111+1)</f>
        <v>2032</v>
      </c>
      <c r="D112" s="350">
        <f>IF(F111+SUM(E$100:E111)=D$93,F111,D$93-SUM(E$100:E111))</f>
        <v>1959636.9285714286</v>
      </c>
      <c r="E112" s="510">
        <f t="shared" si="14"/>
        <v>144334</v>
      </c>
      <c r="F112" s="511">
        <f t="shared" si="15"/>
        <v>1815302.9285714286</v>
      </c>
      <c r="G112" s="511">
        <f t="shared" si="16"/>
        <v>1887469.9285714286</v>
      </c>
      <c r="H112" s="646">
        <f t="shared" si="17"/>
        <v>366983.75250868802</v>
      </c>
      <c r="I112" s="628">
        <f t="shared" si="18"/>
        <v>366983.75250868802</v>
      </c>
      <c r="J112" s="505">
        <f t="shared" si="10"/>
        <v>0</v>
      </c>
      <c r="K112" s="505"/>
      <c r="L112" s="513"/>
      <c r="M112" s="505">
        <f t="shared" si="11"/>
        <v>0</v>
      </c>
      <c r="N112" s="513"/>
      <c r="O112" s="505">
        <f t="shared" si="12"/>
        <v>0</v>
      </c>
      <c r="P112" s="505">
        <f t="shared" si="13"/>
        <v>0</v>
      </c>
    </row>
    <row r="113" spans="2:16">
      <c r="B113" s="145" t="str">
        <f t="shared" si="9"/>
        <v/>
      </c>
      <c r="C113" s="496">
        <f>IF(D94="","-",+C112+1)</f>
        <v>2033</v>
      </c>
      <c r="D113" s="350">
        <f>IF(F112+SUM(E$100:E112)=D$93,F112,D$93-SUM(E$100:E112))</f>
        <v>1815302.9285714286</v>
      </c>
      <c r="E113" s="510">
        <f t="shared" si="14"/>
        <v>144334</v>
      </c>
      <c r="F113" s="511">
        <f t="shared" si="15"/>
        <v>1670968.9285714286</v>
      </c>
      <c r="G113" s="511">
        <f t="shared" si="16"/>
        <v>1743135.9285714286</v>
      </c>
      <c r="H113" s="646">
        <f t="shared" si="17"/>
        <v>349957.82330465998</v>
      </c>
      <c r="I113" s="628">
        <f t="shared" si="18"/>
        <v>349957.82330465998</v>
      </c>
      <c r="J113" s="505">
        <f t="shared" si="10"/>
        <v>0</v>
      </c>
      <c r="K113" s="505"/>
      <c r="L113" s="513"/>
      <c r="M113" s="505">
        <f t="shared" si="11"/>
        <v>0</v>
      </c>
      <c r="N113" s="513"/>
      <c r="O113" s="505">
        <f t="shared" si="12"/>
        <v>0</v>
      </c>
      <c r="P113" s="505">
        <f t="shared" si="13"/>
        <v>0</v>
      </c>
    </row>
    <row r="114" spans="2:16">
      <c r="B114" s="145" t="str">
        <f t="shared" si="9"/>
        <v/>
      </c>
      <c r="C114" s="496">
        <f>IF(D94="","-",+C113+1)</f>
        <v>2034</v>
      </c>
      <c r="D114" s="350">
        <f>IF(F113+SUM(E$100:E113)=D$93,F113,D$93-SUM(E$100:E113))</f>
        <v>1670968.9285714286</v>
      </c>
      <c r="E114" s="510">
        <f t="shared" si="14"/>
        <v>144334</v>
      </c>
      <c r="F114" s="511">
        <f t="shared" si="15"/>
        <v>1526634.9285714286</v>
      </c>
      <c r="G114" s="511">
        <f t="shared" si="16"/>
        <v>1598801.9285714286</v>
      </c>
      <c r="H114" s="646">
        <f t="shared" si="17"/>
        <v>332931.89410063194</v>
      </c>
      <c r="I114" s="628">
        <f t="shared" si="18"/>
        <v>332931.89410063194</v>
      </c>
      <c r="J114" s="505">
        <f t="shared" si="10"/>
        <v>0</v>
      </c>
      <c r="K114" s="505"/>
      <c r="L114" s="513"/>
      <c r="M114" s="505">
        <f t="shared" si="11"/>
        <v>0</v>
      </c>
      <c r="N114" s="513"/>
      <c r="O114" s="505">
        <f t="shared" si="12"/>
        <v>0</v>
      </c>
      <c r="P114" s="505">
        <f t="shared" si="13"/>
        <v>0</v>
      </c>
    </row>
    <row r="115" spans="2:16">
      <c r="B115" s="145" t="str">
        <f t="shared" si="9"/>
        <v/>
      </c>
      <c r="C115" s="496">
        <f>IF(D94="","-",+C114+1)</f>
        <v>2035</v>
      </c>
      <c r="D115" s="350">
        <f>IF(F114+SUM(E$100:E114)=D$93,F114,D$93-SUM(E$100:E114))</f>
        <v>1526634.9285714286</v>
      </c>
      <c r="E115" s="510">
        <f t="shared" si="14"/>
        <v>144334</v>
      </c>
      <c r="F115" s="511">
        <f t="shared" si="15"/>
        <v>1382300.9285714286</v>
      </c>
      <c r="G115" s="511">
        <f t="shared" si="16"/>
        <v>1454467.9285714286</v>
      </c>
      <c r="H115" s="646">
        <f t="shared" si="17"/>
        <v>315905.96489660395</v>
      </c>
      <c r="I115" s="628">
        <f t="shared" si="18"/>
        <v>315905.96489660395</v>
      </c>
      <c r="J115" s="505">
        <f t="shared" si="10"/>
        <v>0</v>
      </c>
      <c r="K115" s="505"/>
      <c r="L115" s="513"/>
      <c r="M115" s="505">
        <f t="shared" si="11"/>
        <v>0</v>
      </c>
      <c r="N115" s="513"/>
      <c r="O115" s="505">
        <f t="shared" si="12"/>
        <v>0</v>
      </c>
      <c r="P115" s="505">
        <f t="shared" si="13"/>
        <v>0</v>
      </c>
    </row>
    <row r="116" spans="2:16">
      <c r="B116" s="145" t="str">
        <f t="shared" si="9"/>
        <v/>
      </c>
      <c r="C116" s="496">
        <f>IF(D94="","-",+C115+1)</f>
        <v>2036</v>
      </c>
      <c r="D116" s="350">
        <f>IF(F115+SUM(E$100:E115)=D$93,F115,D$93-SUM(E$100:E115))</f>
        <v>1382300.9285714286</v>
      </c>
      <c r="E116" s="510">
        <f t="shared" si="14"/>
        <v>144334</v>
      </c>
      <c r="F116" s="511">
        <f t="shared" si="15"/>
        <v>1237966.9285714286</v>
      </c>
      <c r="G116" s="511">
        <f t="shared" si="16"/>
        <v>1310133.9285714286</v>
      </c>
      <c r="H116" s="646">
        <f t="shared" si="17"/>
        <v>298880.03569257591</v>
      </c>
      <c r="I116" s="628">
        <f t="shared" si="18"/>
        <v>298880.03569257591</v>
      </c>
      <c r="J116" s="505">
        <f t="shared" si="10"/>
        <v>0</v>
      </c>
      <c r="K116" s="505"/>
      <c r="L116" s="513"/>
      <c r="M116" s="505">
        <f t="shared" si="11"/>
        <v>0</v>
      </c>
      <c r="N116" s="513"/>
      <c r="O116" s="505">
        <f t="shared" si="12"/>
        <v>0</v>
      </c>
      <c r="P116" s="505">
        <f t="shared" si="13"/>
        <v>0</v>
      </c>
    </row>
    <row r="117" spans="2:16">
      <c r="B117" s="145" t="str">
        <f t="shared" si="9"/>
        <v/>
      </c>
      <c r="C117" s="496">
        <f>IF(D94="","-",+C116+1)</f>
        <v>2037</v>
      </c>
      <c r="D117" s="350">
        <f>IF(F116+SUM(E$100:E116)=D$93,F116,D$93-SUM(E$100:E116))</f>
        <v>1237966.9285714286</v>
      </c>
      <c r="E117" s="510">
        <f t="shared" si="14"/>
        <v>144334</v>
      </c>
      <c r="F117" s="511">
        <f t="shared" si="15"/>
        <v>1093632.9285714286</v>
      </c>
      <c r="G117" s="511">
        <f t="shared" si="16"/>
        <v>1165799.9285714286</v>
      </c>
      <c r="H117" s="646">
        <f t="shared" si="17"/>
        <v>281854.10648854787</v>
      </c>
      <c r="I117" s="628">
        <f t="shared" si="18"/>
        <v>281854.10648854787</v>
      </c>
      <c r="J117" s="505">
        <f t="shared" si="10"/>
        <v>0</v>
      </c>
      <c r="K117" s="505"/>
      <c r="L117" s="513"/>
      <c r="M117" s="505">
        <f t="shared" si="11"/>
        <v>0</v>
      </c>
      <c r="N117" s="513"/>
      <c r="O117" s="505">
        <f t="shared" si="12"/>
        <v>0</v>
      </c>
      <c r="P117" s="505">
        <f t="shared" si="13"/>
        <v>0</v>
      </c>
    </row>
    <row r="118" spans="2:16">
      <c r="B118" s="145" t="str">
        <f t="shared" si="9"/>
        <v/>
      </c>
      <c r="C118" s="496">
        <f>IF(D94="","-",+C117+1)</f>
        <v>2038</v>
      </c>
      <c r="D118" s="350">
        <f>IF(F117+SUM(E$100:E117)=D$93,F117,D$93-SUM(E$100:E117))</f>
        <v>1093632.9285714286</v>
      </c>
      <c r="E118" s="510">
        <f t="shared" si="14"/>
        <v>144334</v>
      </c>
      <c r="F118" s="511">
        <f t="shared" si="15"/>
        <v>949298.92857142864</v>
      </c>
      <c r="G118" s="511">
        <f t="shared" si="16"/>
        <v>1021465.9285714286</v>
      </c>
      <c r="H118" s="646">
        <f t="shared" si="17"/>
        <v>264828.17728451989</v>
      </c>
      <c r="I118" s="628">
        <f t="shared" si="18"/>
        <v>264828.17728451989</v>
      </c>
      <c r="J118" s="505">
        <f t="shared" si="10"/>
        <v>0</v>
      </c>
      <c r="K118" s="505"/>
      <c r="L118" s="513"/>
      <c r="M118" s="505">
        <f t="shared" si="11"/>
        <v>0</v>
      </c>
      <c r="N118" s="513"/>
      <c r="O118" s="505">
        <f t="shared" si="12"/>
        <v>0</v>
      </c>
      <c r="P118" s="505">
        <f t="shared" si="13"/>
        <v>0</v>
      </c>
    </row>
    <row r="119" spans="2:16">
      <c r="B119" s="145" t="str">
        <f t="shared" si="9"/>
        <v/>
      </c>
      <c r="C119" s="496">
        <f>IF(D94="","-",+C118+1)</f>
        <v>2039</v>
      </c>
      <c r="D119" s="350">
        <f>IF(F118+SUM(E$100:E118)=D$93,F118,D$93-SUM(E$100:E118))</f>
        <v>949298.92857142864</v>
      </c>
      <c r="E119" s="510">
        <f t="shared" si="14"/>
        <v>144334</v>
      </c>
      <c r="F119" s="511">
        <f t="shared" si="15"/>
        <v>804964.92857142864</v>
      </c>
      <c r="G119" s="511">
        <f t="shared" si="16"/>
        <v>877131.92857142864</v>
      </c>
      <c r="H119" s="646">
        <f t="shared" si="17"/>
        <v>247802.24808049185</v>
      </c>
      <c r="I119" s="628">
        <f t="shared" si="18"/>
        <v>247802.24808049185</v>
      </c>
      <c r="J119" s="505">
        <f t="shared" si="10"/>
        <v>0</v>
      </c>
      <c r="K119" s="505"/>
      <c r="L119" s="513"/>
      <c r="M119" s="505">
        <f t="shared" si="11"/>
        <v>0</v>
      </c>
      <c r="N119" s="513"/>
      <c r="O119" s="505">
        <f t="shared" si="12"/>
        <v>0</v>
      </c>
      <c r="P119" s="505">
        <f t="shared" si="13"/>
        <v>0</v>
      </c>
    </row>
    <row r="120" spans="2:16">
      <c r="B120" s="145" t="str">
        <f t="shared" si="9"/>
        <v/>
      </c>
      <c r="C120" s="496">
        <f>IF(D94="","-",+C119+1)</f>
        <v>2040</v>
      </c>
      <c r="D120" s="350">
        <f>IF(F119+SUM(E$100:E119)=D$93,F119,D$93-SUM(E$100:E119))</f>
        <v>804964.92857142864</v>
      </c>
      <c r="E120" s="510">
        <f t="shared" si="14"/>
        <v>144334</v>
      </c>
      <c r="F120" s="511">
        <f t="shared" si="15"/>
        <v>660630.92857142864</v>
      </c>
      <c r="G120" s="511">
        <f t="shared" si="16"/>
        <v>732797.92857142864</v>
      </c>
      <c r="H120" s="646">
        <f t="shared" si="17"/>
        <v>230776.3188764638</v>
      </c>
      <c r="I120" s="628">
        <f t="shared" si="18"/>
        <v>230776.3188764638</v>
      </c>
      <c r="J120" s="505">
        <f t="shared" si="10"/>
        <v>0</v>
      </c>
      <c r="K120" s="505"/>
      <c r="L120" s="513"/>
      <c r="M120" s="505">
        <f t="shared" si="11"/>
        <v>0</v>
      </c>
      <c r="N120" s="513"/>
      <c r="O120" s="505">
        <f t="shared" si="12"/>
        <v>0</v>
      </c>
      <c r="P120" s="505">
        <f t="shared" si="13"/>
        <v>0</v>
      </c>
    </row>
    <row r="121" spans="2:16">
      <c r="B121" s="145" t="str">
        <f t="shared" si="9"/>
        <v/>
      </c>
      <c r="C121" s="496">
        <f>IF(D94="","-",+C120+1)</f>
        <v>2041</v>
      </c>
      <c r="D121" s="350">
        <f>IF(F120+SUM(E$100:E120)=D$93,F120,D$93-SUM(E$100:E120))</f>
        <v>660630.92857142864</v>
      </c>
      <c r="E121" s="510">
        <f t="shared" si="14"/>
        <v>144334</v>
      </c>
      <c r="F121" s="511">
        <f t="shared" si="15"/>
        <v>516296.92857142864</v>
      </c>
      <c r="G121" s="511">
        <f t="shared" si="16"/>
        <v>588463.92857142864</v>
      </c>
      <c r="H121" s="646">
        <f t="shared" si="17"/>
        <v>213750.38967243579</v>
      </c>
      <c r="I121" s="628">
        <f t="shared" si="18"/>
        <v>213750.38967243579</v>
      </c>
      <c r="J121" s="505">
        <f t="shared" si="10"/>
        <v>0</v>
      </c>
      <c r="K121" s="505"/>
      <c r="L121" s="513"/>
      <c r="M121" s="505">
        <f t="shared" si="11"/>
        <v>0</v>
      </c>
      <c r="N121" s="513"/>
      <c r="O121" s="505">
        <f t="shared" si="12"/>
        <v>0</v>
      </c>
      <c r="P121" s="505">
        <f t="shared" si="13"/>
        <v>0</v>
      </c>
    </row>
    <row r="122" spans="2:16">
      <c r="B122" s="145" t="str">
        <f t="shared" si="9"/>
        <v/>
      </c>
      <c r="C122" s="496">
        <f>IF(D94="","-",+C121+1)</f>
        <v>2042</v>
      </c>
      <c r="D122" s="350">
        <f>IF(F121+SUM(E$100:E121)=D$93,F121,D$93-SUM(E$100:E121))</f>
        <v>516296.92857142864</v>
      </c>
      <c r="E122" s="510">
        <f t="shared" si="14"/>
        <v>144334</v>
      </c>
      <c r="F122" s="511">
        <f t="shared" si="15"/>
        <v>371962.92857142864</v>
      </c>
      <c r="G122" s="511">
        <f t="shared" si="16"/>
        <v>444129.92857142864</v>
      </c>
      <c r="H122" s="646">
        <f t="shared" si="17"/>
        <v>196724.46046840778</v>
      </c>
      <c r="I122" s="628">
        <f t="shared" si="18"/>
        <v>196724.46046840778</v>
      </c>
      <c r="J122" s="505">
        <f t="shared" si="10"/>
        <v>0</v>
      </c>
      <c r="K122" s="505"/>
      <c r="L122" s="513"/>
      <c r="M122" s="505">
        <f t="shared" si="11"/>
        <v>0</v>
      </c>
      <c r="N122" s="513"/>
      <c r="O122" s="505">
        <f t="shared" si="12"/>
        <v>0</v>
      </c>
      <c r="P122" s="505">
        <f t="shared" si="13"/>
        <v>0</v>
      </c>
    </row>
    <row r="123" spans="2:16">
      <c r="B123" s="145" t="str">
        <f t="shared" si="9"/>
        <v/>
      </c>
      <c r="C123" s="496">
        <f>IF(D94="","-",+C122+1)</f>
        <v>2043</v>
      </c>
      <c r="D123" s="350">
        <f>IF(F122+SUM(E$100:E122)=D$93,F122,D$93-SUM(E$100:E122))</f>
        <v>371962.92857142864</v>
      </c>
      <c r="E123" s="510">
        <f t="shared" si="14"/>
        <v>144334</v>
      </c>
      <c r="F123" s="511">
        <f t="shared" si="15"/>
        <v>227628.92857142864</v>
      </c>
      <c r="G123" s="511">
        <f t="shared" si="16"/>
        <v>299795.92857142864</v>
      </c>
      <c r="H123" s="646">
        <f t="shared" si="17"/>
        <v>179698.53126437974</v>
      </c>
      <c r="I123" s="628">
        <f t="shared" si="18"/>
        <v>179698.53126437974</v>
      </c>
      <c r="J123" s="505">
        <f t="shared" si="10"/>
        <v>0</v>
      </c>
      <c r="K123" s="505"/>
      <c r="L123" s="513"/>
      <c r="M123" s="505">
        <f t="shared" si="11"/>
        <v>0</v>
      </c>
      <c r="N123" s="513"/>
      <c r="O123" s="505">
        <f t="shared" si="12"/>
        <v>0</v>
      </c>
      <c r="P123" s="505">
        <f t="shared" si="13"/>
        <v>0</v>
      </c>
    </row>
    <row r="124" spans="2:16">
      <c r="B124" s="145" t="str">
        <f t="shared" si="9"/>
        <v/>
      </c>
      <c r="C124" s="496">
        <f>IF(D94="","-",+C123+1)</f>
        <v>2044</v>
      </c>
      <c r="D124" s="350">
        <f>IF(F123+SUM(E$100:E123)=D$93,F123,D$93-SUM(E$100:E123))</f>
        <v>227628.92857142864</v>
      </c>
      <c r="E124" s="510">
        <f t="shared" si="14"/>
        <v>144334</v>
      </c>
      <c r="F124" s="511">
        <f t="shared" si="15"/>
        <v>83294.928571428638</v>
      </c>
      <c r="G124" s="511">
        <f t="shared" si="16"/>
        <v>155461.92857142864</v>
      </c>
      <c r="H124" s="646">
        <f t="shared" si="17"/>
        <v>162672.60206035172</v>
      </c>
      <c r="I124" s="628">
        <f t="shared" si="18"/>
        <v>162672.60206035172</v>
      </c>
      <c r="J124" s="505">
        <f t="shared" si="10"/>
        <v>0</v>
      </c>
      <c r="K124" s="505"/>
      <c r="L124" s="513"/>
      <c r="M124" s="505">
        <f t="shared" si="11"/>
        <v>0</v>
      </c>
      <c r="N124" s="513"/>
      <c r="O124" s="505">
        <f t="shared" si="12"/>
        <v>0</v>
      </c>
      <c r="P124" s="505">
        <f t="shared" si="13"/>
        <v>0</v>
      </c>
    </row>
    <row r="125" spans="2:16">
      <c r="B125" s="145" t="str">
        <f t="shared" si="9"/>
        <v/>
      </c>
      <c r="C125" s="496">
        <f>IF(D94="","-",+C124+1)</f>
        <v>2045</v>
      </c>
      <c r="D125" s="350">
        <f>IF(F124+SUM(E$100:E124)=D$93,F124,D$93-SUM(E$100:E124))</f>
        <v>83294.928571428638</v>
      </c>
      <c r="E125" s="510">
        <f t="shared" si="14"/>
        <v>83294.928571428638</v>
      </c>
      <c r="F125" s="511">
        <f t="shared" si="15"/>
        <v>0</v>
      </c>
      <c r="G125" s="511">
        <f t="shared" si="16"/>
        <v>41647.464285714319</v>
      </c>
      <c r="H125" s="646">
        <f t="shared" si="17"/>
        <v>88207.74730059749</v>
      </c>
      <c r="I125" s="628">
        <f t="shared" si="18"/>
        <v>88207.74730059749</v>
      </c>
      <c r="J125" s="505">
        <f t="shared" si="10"/>
        <v>0</v>
      </c>
      <c r="K125" s="505"/>
      <c r="L125" s="513"/>
      <c r="M125" s="505">
        <f t="shared" si="11"/>
        <v>0</v>
      </c>
      <c r="N125" s="513"/>
      <c r="O125" s="505">
        <f t="shared" si="12"/>
        <v>0</v>
      </c>
      <c r="P125" s="505">
        <f t="shared" si="13"/>
        <v>0</v>
      </c>
    </row>
    <row r="126" spans="2:16">
      <c r="B126" s="145" t="str">
        <f t="shared" si="9"/>
        <v/>
      </c>
      <c r="C126" s="496">
        <f>IF(D94="","-",+C125+1)</f>
        <v>2046</v>
      </c>
      <c r="D126" s="350">
        <f>IF(F125+SUM(E$100:E125)=D$93,F125,D$93-SUM(E$100:E125))</f>
        <v>0</v>
      </c>
      <c r="E126" s="510">
        <f t="shared" si="14"/>
        <v>0</v>
      </c>
      <c r="F126" s="511">
        <f t="shared" si="15"/>
        <v>0</v>
      </c>
      <c r="G126" s="511">
        <f t="shared" si="16"/>
        <v>0</v>
      </c>
      <c r="H126" s="646">
        <f t="shared" si="17"/>
        <v>0</v>
      </c>
      <c r="I126" s="628">
        <f t="shared" si="18"/>
        <v>0</v>
      </c>
      <c r="J126" s="505">
        <f t="shared" si="10"/>
        <v>0</v>
      </c>
      <c r="K126" s="505"/>
      <c r="L126" s="513"/>
      <c r="M126" s="505">
        <f t="shared" si="11"/>
        <v>0</v>
      </c>
      <c r="N126" s="513"/>
      <c r="O126" s="505">
        <f t="shared" si="12"/>
        <v>0</v>
      </c>
      <c r="P126" s="505">
        <f t="shared" si="13"/>
        <v>0</v>
      </c>
    </row>
    <row r="127" spans="2:16">
      <c r="B127" s="145" t="str">
        <f t="shared" si="9"/>
        <v/>
      </c>
      <c r="C127" s="496">
        <f>IF(D94="","-",+C126+1)</f>
        <v>2047</v>
      </c>
      <c r="D127" s="350">
        <f>IF(F126+SUM(E$100:E126)=D$93,F126,D$93-SUM(E$100:E126))</f>
        <v>0</v>
      </c>
      <c r="E127" s="510">
        <f t="shared" si="14"/>
        <v>0</v>
      </c>
      <c r="F127" s="511">
        <f t="shared" si="15"/>
        <v>0</v>
      </c>
      <c r="G127" s="511">
        <f t="shared" si="16"/>
        <v>0</v>
      </c>
      <c r="H127" s="646">
        <f t="shared" si="17"/>
        <v>0</v>
      </c>
      <c r="I127" s="628">
        <f t="shared" si="18"/>
        <v>0</v>
      </c>
      <c r="J127" s="505">
        <f t="shared" si="10"/>
        <v>0</v>
      </c>
      <c r="K127" s="505"/>
      <c r="L127" s="513"/>
      <c r="M127" s="505">
        <f t="shared" si="11"/>
        <v>0</v>
      </c>
      <c r="N127" s="513"/>
      <c r="O127" s="505">
        <f t="shared" si="12"/>
        <v>0</v>
      </c>
      <c r="P127" s="505">
        <f t="shared" si="13"/>
        <v>0</v>
      </c>
    </row>
    <row r="128" spans="2:16">
      <c r="B128" s="145" t="str">
        <f t="shared" si="9"/>
        <v/>
      </c>
      <c r="C128" s="496">
        <f>IF(D94="","-",+C127+1)</f>
        <v>2048</v>
      </c>
      <c r="D128" s="350">
        <f>IF(F127+SUM(E$100:E127)=D$93,F127,D$93-SUM(E$100:E127))</f>
        <v>0</v>
      </c>
      <c r="E128" s="510">
        <f t="shared" si="14"/>
        <v>0</v>
      </c>
      <c r="F128" s="511">
        <f t="shared" si="15"/>
        <v>0</v>
      </c>
      <c r="G128" s="511">
        <f t="shared" si="16"/>
        <v>0</v>
      </c>
      <c r="H128" s="646">
        <f t="shared" si="17"/>
        <v>0</v>
      </c>
      <c r="I128" s="628">
        <f t="shared" si="18"/>
        <v>0</v>
      </c>
      <c r="J128" s="505">
        <f t="shared" si="10"/>
        <v>0</v>
      </c>
      <c r="K128" s="505"/>
      <c r="L128" s="513"/>
      <c r="M128" s="505">
        <f t="shared" si="11"/>
        <v>0</v>
      </c>
      <c r="N128" s="513"/>
      <c r="O128" s="505">
        <f t="shared" si="12"/>
        <v>0</v>
      </c>
      <c r="P128" s="505">
        <f t="shared" si="13"/>
        <v>0</v>
      </c>
    </row>
    <row r="129" spans="2:16">
      <c r="B129" s="145" t="str">
        <f t="shared" si="9"/>
        <v/>
      </c>
      <c r="C129" s="496">
        <f>IF(D94="","-",+C128+1)</f>
        <v>2049</v>
      </c>
      <c r="D129" s="350">
        <f>IF(F128+SUM(E$100:E128)=D$93,F128,D$93-SUM(E$100:E128))</f>
        <v>0</v>
      </c>
      <c r="E129" s="510">
        <f t="shared" si="14"/>
        <v>0</v>
      </c>
      <c r="F129" s="511">
        <f t="shared" si="15"/>
        <v>0</v>
      </c>
      <c r="G129" s="511">
        <f t="shared" si="16"/>
        <v>0</v>
      </c>
      <c r="H129" s="646">
        <f t="shared" si="17"/>
        <v>0</v>
      </c>
      <c r="I129" s="628">
        <f t="shared" si="18"/>
        <v>0</v>
      </c>
      <c r="J129" s="505">
        <f t="shared" si="10"/>
        <v>0</v>
      </c>
      <c r="K129" s="505"/>
      <c r="L129" s="513"/>
      <c r="M129" s="505">
        <f t="shared" si="11"/>
        <v>0</v>
      </c>
      <c r="N129" s="513"/>
      <c r="O129" s="505">
        <f t="shared" si="12"/>
        <v>0</v>
      </c>
      <c r="P129" s="505">
        <f t="shared" si="13"/>
        <v>0</v>
      </c>
    </row>
    <row r="130" spans="2:16">
      <c r="B130" s="145" t="str">
        <f t="shared" si="9"/>
        <v/>
      </c>
      <c r="C130" s="496">
        <f>IF(D94="","-",+C129+1)</f>
        <v>2050</v>
      </c>
      <c r="D130" s="350">
        <f>IF(F129+SUM(E$100:E129)=D$93,F129,D$93-SUM(E$100:E129))</f>
        <v>0</v>
      </c>
      <c r="E130" s="510">
        <f t="shared" si="14"/>
        <v>0</v>
      </c>
      <c r="F130" s="511">
        <f t="shared" si="15"/>
        <v>0</v>
      </c>
      <c r="G130" s="511">
        <f t="shared" si="16"/>
        <v>0</v>
      </c>
      <c r="H130" s="646">
        <f t="shared" si="17"/>
        <v>0</v>
      </c>
      <c r="I130" s="628">
        <f t="shared" si="18"/>
        <v>0</v>
      </c>
      <c r="J130" s="505">
        <f t="shared" si="10"/>
        <v>0</v>
      </c>
      <c r="K130" s="505"/>
      <c r="L130" s="513"/>
      <c r="M130" s="505">
        <f t="shared" si="11"/>
        <v>0</v>
      </c>
      <c r="N130" s="513"/>
      <c r="O130" s="505">
        <f t="shared" si="12"/>
        <v>0</v>
      </c>
      <c r="P130" s="505">
        <f t="shared" si="13"/>
        <v>0</v>
      </c>
    </row>
    <row r="131" spans="2:16">
      <c r="B131" s="145" t="str">
        <f t="shared" si="9"/>
        <v/>
      </c>
      <c r="C131" s="496">
        <f>IF(D94="","-",+C130+1)</f>
        <v>2051</v>
      </c>
      <c r="D131" s="350">
        <f>IF(F130+SUM(E$100:E130)=D$93,F130,D$93-SUM(E$100:E130))</f>
        <v>0</v>
      </c>
      <c r="E131" s="510">
        <f t="shared" si="14"/>
        <v>0</v>
      </c>
      <c r="F131" s="511">
        <f t="shared" si="15"/>
        <v>0</v>
      </c>
      <c r="G131" s="511">
        <f t="shared" si="16"/>
        <v>0</v>
      </c>
      <c r="H131" s="646">
        <f t="shared" si="17"/>
        <v>0</v>
      </c>
      <c r="I131" s="628">
        <f t="shared" si="18"/>
        <v>0</v>
      </c>
      <c r="J131" s="505">
        <f t="shared" si="10"/>
        <v>0</v>
      </c>
      <c r="K131" s="505"/>
      <c r="L131" s="513"/>
      <c r="M131" s="505">
        <f t="shared" si="11"/>
        <v>0</v>
      </c>
      <c r="N131" s="513"/>
      <c r="O131" s="505">
        <f t="shared" si="12"/>
        <v>0</v>
      </c>
      <c r="P131" s="505">
        <f t="shared" si="13"/>
        <v>0</v>
      </c>
    </row>
    <row r="132" spans="2:16">
      <c r="B132" s="145" t="str">
        <f t="shared" si="9"/>
        <v/>
      </c>
      <c r="C132" s="496">
        <f>IF(D94="","-",+C131+1)</f>
        <v>2052</v>
      </c>
      <c r="D132" s="350">
        <f>IF(F131+SUM(E$100:E131)=D$93,F131,D$93-SUM(E$100:E131))</f>
        <v>0</v>
      </c>
      <c r="E132" s="510">
        <f t="shared" si="14"/>
        <v>0</v>
      </c>
      <c r="F132" s="511">
        <f t="shared" si="15"/>
        <v>0</v>
      </c>
      <c r="G132" s="511">
        <f t="shared" si="16"/>
        <v>0</v>
      </c>
      <c r="H132" s="646">
        <f t="shared" ref="H132:H155" si="19">(D132+F132)/2*J$95+E132</f>
        <v>0</v>
      </c>
      <c r="I132" s="628">
        <f t="shared" si="18"/>
        <v>0</v>
      </c>
      <c r="J132" s="505">
        <f t="shared" ref="J132:J155" si="20">+I542-H542</f>
        <v>0</v>
      </c>
      <c r="K132" s="505"/>
      <c r="L132" s="513"/>
      <c r="M132" s="505">
        <f t="shared" ref="M132:M155" si="21">IF(L542&lt;&gt;0,+H542-L542,0)</f>
        <v>0</v>
      </c>
      <c r="N132" s="513"/>
      <c r="O132" s="505">
        <f t="shared" ref="O132:O155" si="22">IF(N542&lt;&gt;0,+I542-N542,0)</f>
        <v>0</v>
      </c>
      <c r="P132" s="505">
        <f t="shared" ref="P132:P155" si="23">+O542-M542</f>
        <v>0</v>
      </c>
    </row>
    <row r="133" spans="2:16">
      <c r="B133" s="145" t="str">
        <f t="shared" si="9"/>
        <v/>
      </c>
      <c r="C133" s="496">
        <f>IF(D94="","-",+C132+1)</f>
        <v>2053</v>
      </c>
      <c r="D133" s="350">
        <f>IF(F132+SUM(E$100:E132)=D$93,F132,D$93-SUM(E$100:E132))</f>
        <v>0</v>
      </c>
      <c r="E133" s="510">
        <f t="shared" si="14"/>
        <v>0</v>
      </c>
      <c r="F133" s="511">
        <f t="shared" si="15"/>
        <v>0</v>
      </c>
      <c r="G133" s="511">
        <f t="shared" si="16"/>
        <v>0</v>
      </c>
      <c r="H133" s="646">
        <f t="shared" si="19"/>
        <v>0</v>
      </c>
      <c r="I133" s="628">
        <f t="shared" si="18"/>
        <v>0</v>
      </c>
      <c r="J133" s="505">
        <f t="shared" si="20"/>
        <v>0</v>
      </c>
      <c r="K133" s="505"/>
      <c r="L133" s="513"/>
      <c r="M133" s="505">
        <f t="shared" si="21"/>
        <v>0</v>
      </c>
      <c r="N133" s="513"/>
      <c r="O133" s="505">
        <f t="shared" si="22"/>
        <v>0</v>
      </c>
      <c r="P133" s="505">
        <f t="shared" si="23"/>
        <v>0</v>
      </c>
    </row>
    <row r="134" spans="2:16">
      <c r="B134" s="145" t="str">
        <f t="shared" si="9"/>
        <v/>
      </c>
      <c r="C134" s="496">
        <f>IF(D94="","-",+C133+1)</f>
        <v>2054</v>
      </c>
      <c r="D134" s="350">
        <f>IF(F133+SUM(E$100:E133)=D$93,F133,D$93-SUM(E$100:E133))</f>
        <v>0</v>
      </c>
      <c r="E134" s="510">
        <f t="shared" si="14"/>
        <v>0</v>
      </c>
      <c r="F134" s="511">
        <f t="shared" si="15"/>
        <v>0</v>
      </c>
      <c r="G134" s="511">
        <f t="shared" si="16"/>
        <v>0</v>
      </c>
      <c r="H134" s="646">
        <f t="shared" si="19"/>
        <v>0</v>
      </c>
      <c r="I134" s="628">
        <f t="shared" si="18"/>
        <v>0</v>
      </c>
      <c r="J134" s="505">
        <f t="shared" si="20"/>
        <v>0</v>
      </c>
      <c r="K134" s="505"/>
      <c r="L134" s="513"/>
      <c r="M134" s="505">
        <f t="shared" si="21"/>
        <v>0</v>
      </c>
      <c r="N134" s="513"/>
      <c r="O134" s="505">
        <f t="shared" si="22"/>
        <v>0</v>
      </c>
      <c r="P134" s="505">
        <f t="shared" si="23"/>
        <v>0</v>
      </c>
    </row>
    <row r="135" spans="2:16">
      <c r="B135" s="145" t="str">
        <f t="shared" si="9"/>
        <v/>
      </c>
      <c r="C135" s="496">
        <f>IF(D94="","-",+C134+1)</f>
        <v>2055</v>
      </c>
      <c r="D135" s="350">
        <f>IF(F134+SUM(E$100:E134)=D$93,F134,D$93-SUM(E$100:E134))</f>
        <v>0</v>
      </c>
      <c r="E135" s="510">
        <f t="shared" si="14"/>
        <v>0</v>
      </c>
      <c r="F135" s="511">
        <f t="shared" si="15"/>
        <v>0</v>
      </c>
      <c r="G135" s="511">
        <f t="shared" si="16"/>
        <v>0</v>
      </c>
      <c r="H135" s="646">
        <f t="shared" si="19"/>
        <v>0</v>
      </c>
      <c r="I135" s="628">
        <f t="shared" si="18"/>
        <v>0</v>
      </c>
      <c r="J135" s="505">
        <f t="shared" si="20"/>
        <v>0</v>
      </c>
      <c r="K135" s="505"/>
      <c r="L135" s="513"/>
      <c r="M135" s="505">
        <f t="shared" si="21"/>
        <v>0</v>
      </c>
      <c r="N135" s="513"/>
      <c r="O135" s="505">
        <f t="shared" si="22"/>
        <v>0</v>
      </c>
      <c r="P135" s="505">
        <f t="shared" si="23"/>
        <v>0</v>
      </c>
    </row>
    <row r="136" spans="2:16">
      <c r="B136" s="145" t="str">
        <f t="shared" si="9"/>
        <v/>
      </c>
      <c r="C136" s="496">
        <f>IF(D94="","-",+C135+1)</f>
        <v>2056</v>
      </c>
      <c r="D136" s="350">
        <f>IF(F135+SUM(E$100:E135)=D$93,F135,D$93-SUM(E$100:E135))</f>
        <v>0</v>
      </c>
      <c r="E136" s="510">
        <f t="shared" si="14"/>
        <v>0</v>
      </c>
      <c r="F136" s="511">
        <f t="shared" si="15"/>
        <v>0</v>
      </c>
      <c r="G136" s="511">
        <f t="shared" si="16"/>
        <v>0</v>
      </c>
      <c r="H136" s="646">
        <f t="shared" si="19"/>
        <v>0</v>
      </c>
      <c r="I136" s="628">
        <f t="shared" si="18"/>
        <v>0</v>
      </c>
      <c r="J136" s="505">
        <f t="shared" si="20"/>
        <v>0</v>
      </c>
      <c r="K136" s="505"/>
      <c r="L136" s="513"/>
      <c r="M136" s="505">
        <f t="shared" si="21"/>
        <v>0</v>
      </c>
      <c r="N136" s="513"/>
      <c r="O136" s="505">
        <f t="shared" si="22"/>
        <v>0</v>
      </c>
      <c r="P136" s="505">
        <f t="shared" si="23"/>
        <v>0</v>
      </c>
    </row>
    <row r="137" spans="2:16">
      <c r="B137" s="145" t="str">
        <f t="shared" si="9"/>
        <v/>
      </c>
      <c r="C137" s="496">
        <f>IF(D94="","-",+C136+1)</f>
        <v>2057</v>
      </c>
      <c r="D137" s="350">
        <f>IF(F136+SUM(E$100:E136)=D$93,F136,D$93-SUM(E$100:E136))</f>
        <v>0</v>
      </c>
      <c r="E137" s="510">
        <f t="shared" si="14"/>
        <v>0</v>
      </c>
      <c r="F137" s="511">
        <f t="shared" si="15"/>
        <v>0</v>
      </c>
      <c r="G137" s="511">
        <f t="shared" si="16"/>
        <v>0</v>
      </c>
      <c r="H137" s="646">
        <f t="shared" si="19"/>
        <v>0</v>
      </c>
      <c r="I137" s="628">
        <f t="shared" si="18"/>
        <v>0</v>
      </c>
      <c r="J137" s="505">
        <f t="shared" si="20"/>
        <v>0</v>
      </c>
      <c r="K137" s="505"/>
      <c r="L137" s="513"/>
      <c r="M137" s="505">
        <f t="shared" si="21"/>
        <v>0</v>
      </c>
      <c r="N137" s="513"/>
      <c r="O137" s="505">
        <f t="shared" si="22"/>
        <v>0</v>
      </c>
      <c r="P137" s="505">
        <f t="shared" si="23"/>
        <v>0</v>
      </c>
    </row>
    <row r="138" spans="2:16">
      <c r="B138" s="145" t="str">
        <f t="shared" si="9"/>
        <v/>
      </c>
      <c r="C138" s="496">
        <f>IF(D94="","-",+C137+1)</f>
        <v>2058</v>
      </c>
      <c r="D138" s="350">
        <f>IF(F137+SUM(E$100:E137)=D$93,F137,D$93-SUM(E$100:E137))</f>
        <v>0</v>
      </c>
      <c r="E138" s="510">
        <f t="shared" si="14"/>
        <v>0</v>
      </c>
      <c r="F138" s="511">
        <f t="shared" si="15"/>
        <v>0</v>
      </c>
      <c r="G138" s="511">
        <f t="shared" si="16"/>
        <v>0</v>
      </c>
      <c r="H138" s="646">
        <f t="shared" si="19"/>
        <v>0</v>
      </c>
      <c r="I138" s="628">
        <f t="shared" si="18"/>
        <v>0</v>
      </c>
      <c r="J138" s="505">
        <f t="shared" si="20"/>
        <v>0</v>
      </c>
      <c r="K138" s="505"/>
      <c r="L138" s="513"/>
      <c r="M138" s="505">
        <f t="shared" si="21"/>
        <v>0</v>
      </c>
      <c r="N138" s="513"/>
      <c r="O138" s="505">
        <f t="shared" si="22"/>
        <v>0</v>
      </c>
      <c r="P138" s="505">
        <f t="shared" si="23"/>
        <v>0</v>
      </c>
    </row>
    <row r="139" spans="2:16">
      <c r="B139" s="145" t="str">
        <f t="shared" si="9"/>
        <v/>
      </c>
      <c r="C139" s="496">
        <f>IF(D94="","-",+C138+1)</f>
        <v>2059</v>
      </c>
      <c r="D139" s="350">
        <f>IF(F138+SUM(E$100:E138)=D$93,F138,D$93-SUM(E$100:E138))</f>
        <v>0</v>
      </c>
      <c r="E139" s="510">
        <f t="shared" si="14"/>
        <v>0</v>
      </c>
      <c r="F139" s="511">
        <f t="shared" si="15"/>
        <v>0</v>
      </c>
      <c r="G139" s="511">
        <f t="shared" si="16"/>
        <v>0</v>
      </c>
      <c r="H139" s="646">
        <f t="shared" si="19"/>
        <v>0</v>
      </c>
      <c r="I139" s="628">
        <f t="shared" si="18"/>
        <v>0</v>
      </c>
      <c r="J139" s="505">
        <f t="shared" si="20"/>
        <v>0</v>
      </c>
      <c r="K139" s="505"/>
      <c r="L139" s="513"/>
      <c r="M139" s="505">
        <f t="shared" si="21"/>
        <v>0</v>
      </c>
      <c r="N139" s="513"/>
      <c r="O139" s="505">
        <f t="shared" si="22"/>
        <v>0</v>
      </c>
      <c r="P139" s="505">
        <f t="shared" si="23"/>
        <v>0</v>
      </c>
    </row>
    <row r="140" spans="2:16">
      <c r="B140" s="145" t="str">
        <f t="shared" si="9"/>
        <v/>
      </c>
      <c r="C140" s="496">
        <f>IF(D94="","-",+C139+1)</f>
        <v>2060</v>
      </c>
      <c r="D140" s="350">
        <f>IF(F139+SUM(E$100:E139)=D$93,F139,D$93-SUM(E$100:E139))</f>
        <v>0</v>
      </c>
      <c r="E140" s="510">
        <f t="shared" si="14"/>
        <v>0</v>
      </c>
      <c r="F140" s="511">
        <f t="shared" si="15"/>
        <v>0</v>
      </c>
      <c r="G140" s="511">
        <f t="shared" si="16"/>
        <v>0</v>
      </c>
      <c r="H140" s="646">
        <f t="shared" si="19"/>
        <v>0</v>
      </c>
      <c r="I140" s="628">
        <f t="shared" si="18"/>
        <v>0</v>
      </c>
      <c r="J140" s="505">
        <f t="shared" si="20"/>
        <v>0</v>
      </c>
      <c r="K140" s="505"/>
      <c r="L140" s="513"/>
      <c r="M140" s="505">
        <f t="shared" si="21"/>
        <v>0</v>
      </c>
      <c r="N140" s="513"/>
      <c r="O140" s="505">
        <f t="shared" si="22"/>
        <v>0</v>
      </c>
      <c r="P140" s="505">
        <f t="shared" si="23"/>
        <v>0</v>
      </c>
    </row>
    <row r="141" spans="2:16">
      <c r="B141" s="145" t="str">
        <f t="shared" si="9"/>
        <v/>
      </c>
      <c r="C141" s="496">
        <f>IF(D94="","-",+C140+1)</f>
        <v>2061</v>
      </c>
      <c r="D141" s="350">
        <f>IF(F140+SUM(E$100:E140)=D$93,F140,D$93-SUM(E$100:E140))</f>
        <v>0</v>
      </c>
      <c r="E141" s="510">
        <f t="shared" si="14"/>
        <v>0</v>
      </c>
      <c r="F141" s="511">
        <f t="shared" si="15"/>
        <v>0</v>
      </c>
      <c r="G141" s="511">
        <f t="shared" si="16"/>
        <v>0</v>
      </c>
      <c r="H141" s="646">
        <f t="shared" si="19"/>
        <v>0</v>
      </c>
      <c r="I141" s="628">
        <f t="shared" si="18"/>
        <v>0</v>
      </c>
      <c r="J141" s="505">
        <f t="shared" si="20"/>
        <v>0</v>
      </c>
      <c r="K141" s="505"/>
      <c r="L141" s="513"/>
      <c r="M141" s="505">
        <f t="shared" si="21"/>
        <v>0</v>
      </c>
      <c r="N141" s="513"/>
      <c r="O141" s="505">
        <f t="shared" si="22"/>
        <v>0</v>
      </c>
      <c r="P141" s="505">
        <f t="shared" si="23"/>
        <v>0</v>
      </c>
    </row>
    <row r="142" spans="2:16">
      <c r="B142" s="145" t="str">
        <f t="shared" si="9"/>
        <v/>
      </c>
      <c r="C142" s="496">
        <f>IF(D94="","-",+C141+1)</f>
        <v>2062</v>
      </c>
      <c r="D142" s="350">
        <f>IF(F141+SUM(E$100:E141)=D$93,F141,D$93-SUM(E$100:E141))</f>
        <v>0</v>
      </c>
      <c r="E142" s="510">
        <f t="shared" si="14"/>
        <v>0</v>
      </c>
      <c r="F142" s="511">
        <f t="shared" si="15"/>
        <v>0</v>
      </c>
      <c r="G142" s="511">
        <f t="shared" si="16"/>
        <v>0</v>
      </c>
      <c r="H142" s="646">
        <f t="shared" si="19"/>
        <v>0</v>
      </c>
      <c r="I142" s="628">
        <f t="shared" si="18"/>
        <v>0</v>
      </c>
      <c r="J142" s="505">
        <f t="shared" si="20"/>
        <v>0</v>
      </c>
      <c r="K142" s="505"/>
      <c r="L142" s="513"/>
      <c r="M142" s="505">
        <f t="shared" si="21"/>
        <v>0</v>
      </c>
      <c r="N142" s="513"/>
      <c r="O142" s="505">
        <f t="shared" si="22"/>
        <v>0</v>
      </c>
      <c r="P142" s="505">
        <f t="shared" si="23"/>
        <v>0</v>
      </c>
    </row>
    <row r="143" spans="2:16">
      <c r="B143" s="145" t="str">
        <f t="shared" si="9"/>
        <v/>
      </c>
      <c r="C143" s="496">
        <f>IF(D94="","-",+C142+1)</f>
        <v>2063</v>
      </c>
      <c r="D143" s="350">
        <f>IF(F142+SUM(E$100:E142)=D$93,F142,D$93-SUM(E$100:E142))</f>
        <v>0</v>
      </c>
      <c r="E143" s="510">
        <f t="shared" si="14"/>
        <v>0</v>
      </c>
      <c r="F143" s="511">
        <f t="shared" si="15"/>
        <v>0</v>
      </c>
      <c r="G143" s="511">
        <f t="shared" si="16"/>
        <v>0</v>
      </c>
      <c r="H143" s="646">
        <f t="shared" si="19"/>
        <v>0</v>
      </c>
      <c r="I143" s="628">
        <f t="shared" si="18"/>
        <v>0</v>
      </c>
      <c r="J143" s="505">
        <f t="shared" si="20"/>
        <v>0</v>
      </c>
      <c r="K143" s="505"/>
      <c r="L143" s="513"/>
      <c r="M143" s="505">
        <f t="shared" si="21"/>
        <v>0</v>
      </c>
      <c r="N143" s="513"/>
      <c r="O143" s="505">
        <f t="shared" si="22"/>
        <v>0</v>
      </c>
      <c r="P143" s="505">
        <f t="shared" si="23"/>
        <v>0</v>
      </c>
    </row>
    <row r="144" spans="2:16">
      <c r="B144" s="145" t="str">
        <f t="shared" si="9"/>
        <v/>
      </c>
      <c r="C144" s="496">
        <f>IF(D94="","-",+C143+1)</f>
        <v>2064</v>
      </c>
      <c r="D144" s="350">
        <f>IF(F143+SUM(E$100:E143)=D$93,F143,D$93-SUM(E$100:E143))</f>
        <v>0</v>
      </c>
      <c r="E144" s="510">
        <f t="shared" si="14"/>
        <v>0</v>
      </c>
      <c r="F144" s="511">
        <f t="shared" si="15"/>
        <v>0</v>
      </c>
      <c r="G144" s="511">
        <f t="shared" si="16"/>
        <v>0</v>
      </c>
      <c r="H144" s="646">
        <f t="shared" si="19"/>
        <v>0</v>
      </c>
      <c r="I144" s="628">
        <f t="shared" si="18"/>
        <v>0</v>
      </c>
      <c r="J144" s="505">
        <f t="shared" si="20"/>
        <v>0</v>
      </c>
      <c r="K144" s="505"/>
      <c r="L144" s="513"/>
      <c r="M144" s="505">
        <f t="shared" si="21"/>
        <v>0</v>
      </c>
      <c r="N144" s="513"/>
      <c r="O144" s="505">
        <f t="shared" si="22"/>
        <v>0</v>
      </c>
      <c r="P144" s="505">
        <f t="shared" si="23"/>
        <v>0</v>
      </c>
    </row>
    <row r="145" spans="2:16">
      <c r="B145" s="145" t="str">
        <f t="shared" si="9"/>
        <v/>
      </c>
      <c r="C145" s="496">
        <f>IF(D94="","-",+C144+1)</f>
        <v>2065</v>
      </c>
      <c r="D145" s="350">
        <f>IF(F144+SUM(E$100:E144)=D$93,F144,D$93-SUM(E$100:E144))</f>
        <v>0</v>
      </c>
      <c r="E145" s="510">
        <f t="shared" si="14"/>
        <v>0</v>
      </c>
      <c r="F145" s="511">
        <f t="shared" si="15"/>
        <v>0</v>
      </c>
      <c r="G145" s="511">
        <f t="shared" si="16"/>
        <v>0</v>
      </c>
      <c r="H145" s="646">
        <f t="shared" si="19"/>
        <v>0</v>
      </c>
      <c r="I145" s="628">
        <f t="shared" si="18"/>
        <v>0</v>
      </c>
      <c r="J145" s="505">
        <f t="shared" si="20"/>
        <v>0</v>
      </c>
      <c r="K145" s="505"/>
      <c r="L145" s="513"/>
      <c r="M145" s="505">
        <f t="shared" si="21"/>
        <v>0</v>
      </c>
      <c r="N145" s="513"/>
      <c r="O145" s="505">
        <f t="shared" si="22"/>
        <v>0</v>
      </c>
      <c r="P145" s="505">
        <f t="shared" si="23"/>
        <v>0</v>
      </c>
    </row>
    <row r="146" spans="2:16">
      <c r="B146" s="145" t="str">
        <f t="shared" si="9"/>
        <v/>
      </c>
      <c r="C146" s="496">
        <f>IF(D94="","-",+C145+1)</f>
        <v>2066</v>
      </c>
      <c r="D146" s="350">
        <f>IF(F145+SUM(E$100:E145)=D$93,F145,D$93-SUM(E$100:E145))</f>
        <v>0</v>
      </c>
      <c r="E146" s="510">
        <f t="shared" si="14"/>
        <v>0</v>
      </c>
      <c r="F146" s="511">
        <f t="shared" si="15"/>
        <v>0</v>
      </c>
      <c r="G146" s="511">
        <f t="shared" si="16"/>
        <v>0</v>
      </c>
      <c r="H146" s="646">
        <f t="shared" si="19"/>
        <v>0</v>
      </c>
      <c r="I146" s="628">
        <f t="shared" si="18"/>
        <v>0</v>
      </c>
      <c r="J146" s="505">
        <f t="shared" si="20"/>
        <v>0</v>
      </c>
      <c r="K146" s="505"/>
      <c r="L146" s="513"/>
      <c r="M146" s="505">
        <f t="shared" si="21"/>
        <v>0</v>
      </c>
      <c r="N146" s="513"/>
      <c r="O146" s="505">
        <f t="shared" si="22"/>
        <v>0</v>
      </c>
      <c r="P146" s="505">
        <f t="shared" si="23"/>
        <v>0</v>
      </c>
    </row>
    <row r="147" spans="2:16">
      <c r="B147" s="145" t="str">
        <f t="shared" si="9"/>
        <v/>
      </c>
      <c r="C147" s="496">
        <f>IF(D94="","-",+C146+1)</f>
        <v>2067</v>
      </c>
      <c r="D147" s="350">
        <f>IF(F146+SUM(E$100:E146)=D$93,F146,D$93-SUM(E$100:E146))</f>
        <v>0</v>
      </c>
      <c r="E147" s="510">
        <f t="shared" si="14"/>
        <v>0</v>
      </c>
      <c r="F147" s="511">
        <f t="shared" si="15"/>
        <v>0</v>
      </c>
      <c r="G147" s="511">
        <f t="shared" si="16"/>
        <v>0</v>
      </c>
      <c r="H147" s="646">
        <f t="shared" si="19"/>
        <v>0</v>
      </c>
      <c r="I147" s="628">
        <f t="shared" si="18"/>
        <v>0</v>
      </c>
      <c r="J147" s="505">
        <f t="shared" si="20"/>
        <v>0</v>
      </c>
      <c r="K147" s="505"/>
      <c r="L147" s="513"/>
      <c r="M147" s="505">
        <f t="shared" si="21"/>
        <v>0</v>
      </c>
      <c r="N147" s="513"/>
      <c r="O147" s="505">
        <f t="shared" si="22"/>
        <v>0</v>
      </c>
      <c r="P147" s="505">
        <f t="shared" si="23"/>
        <v>0</v>
      </c>
    </row>
    <row r="148" spans="2:16">
      <c r="B148" s="145" t="str">
        <f t="shared" si="9"/>
        <v/>
      </c>
      <c r="C148" s="496">
        <f>IF(D94="","-",+C147+1)</f>
        <v>2068</v>
      </c>
      <c r="D148" s="350">
        <f>IF(F147+SUM(E$100:E147)=D$93,F147,D$93-SUM(E$100:E147))</f>
        <v>0</v>
      </c>
      <c r="E148" s="510">
        <f t="shared" si="14"/>
        <v>0</v>
      </c>
      <c r="F148" s="511">
        <f t="shared" si="15"/>
        <v>0</v>
      </c>
      <c r="G148" s="511">
        <f t="shared" si="16"/>
        <v>0</v>
      </c>
      <c r="H148" s="646">
        <f t="shared" si="19"/>
        <v>0</v>
      </c>
      <c r="I148" s="628">
        <f t="shared" si="18"/>
        <v>0</v>
      </c>
      <c r="J148" s="505">
        <f t="shared" si="20"/>
        <v>0</v>
      </c>
      <c r="K148" s="505"/>
      <c r="L148" s="513"/>
      <c r="M148" s="505">
        <f t="shared" si="21"/>
        <v>0</v>
      </c>
      <c r="N148" s="513"/>
      <c r="O148" s="505">
        <f t="shared" si="22"/>
        <v>0</v>
      </c>
      <c r="P148" s="505">
        <f t="shared" si="23"/>
        <v>0</v>
      </c>
    </row>
    <row r="149" spans="2:16">
      <c r="B149" s="145" t="str">
        <f t="shared" si="9"/>
        <v/>
      </c>
      <c r="C149" s="496">
        <f>IF(D94="","-",+C148+1)</f>
        <v>2069</v>
      </c>
      <c r="D149" s="350">
        <f>IF(F148+SUM(E$100:E148)=D$93,F148,D$93-SUM(E$100:E148))</f>
        <v>0</v>
      </c>
      <c r="E149" s="510">
        <f t="shared" si="14"/>
        <v>0</v>
      </c>
      <c r="F149" s="511">
        <f t="shared" si="15"/>
        <v>0</v>
      </c>
      <c r="G149" s="511">
        <f t="shared" si="16"/>
        <v>0</v>
      </c>
      <c r="H149" s="646">
        <f t="shared" si="19"/>
        <v>0</v>
      </c>
      <c r="I149" s="628">
        <f t="shared" si="18"/>
        <v>0</v>
      </c>
      <c r="J149" s="505">
        <f t="shared" si="20"/>
        <v>0</v>
      </c>
      <c r="K149" s="505"/>
      <c r="L149" s="513"/>
      <c r="M149" s="505">
        <f t="shared" si="21"/>
        <v>0</v>
      </c>
      <c r="N149" s="513"/>
      <c r="O149" s="505">
        <f t="shared" si="22"/>
        <v>0</v>
      </c>
      <c r="P149" s="505">
        <f t="shared" si="23"/>
        <v>0</v>
      </c>
    </row>
    <row r="150" spans="2:16">
      <c r="B150" s="145" t="str">
        <f t="shared" si="9"/>
        <v/>
      </c>
      <c r="C150" s="496">
        <f>IF(D94="","-",+C149+1)</f>
        <v>2070</v>
      </c>
      <c r="D150" s="350">
        <f>IF(F149+SUM(E$100:E149)=D$93,F149,D$93-SUM(E$100:E149))</f>
        <v>0</v>
      </c>
      <c r="E150" s="510">
        <f t="shared" si="14"/>
        <v>0</v>
      </c>
      <c r="F150" s="511">
        <f t="shared" si="15"/>
        <v>0</v>
      </c>
      <c r="G150" s="511">
        <f t="shared" si="16"/>
        <v>0</v>
      </c>
      <c r="H150" s="646">
        <f t="shared" si="19"/>
        <v>0</v>
      </c>
      <c r="I150" s="628">
        <f t="shared" si="18"/>
        <v>0</v>
      </c>
      <c r="J150" s="505">
        <f t="shared" si="20"/>
        <v>0</v>
      </c>
      <c r="K150" s="505"/>
      <c r="L150" s="513"/>
      <c r="M150" s="505">
        <f t="shared" si="21"/>
        <v>0</v>
      </c>
      <c r="N150" s="513"/>
      <c r="O150" s="505">
        <f t="shared" si="22"/>
        <v>0</v>
      </c>
      <c r="P150" s="505">
        <f t="shared" si="23"/>
        <v>0</v>
      </c>
    </row>
    <row r="151" spans="2:16">
      <c r="B151" s="145" t="str">
        <f t="shared" si="9"/>
        <v/>
      </c>
      <c r="C151" s="496">
        <f>IF(D94="","-",+C150+1)</f>
        <v>2071</v>
      </c>
      <c r="D151" s="350">
        <f>IF(F150+SUM(E$100:E150)=D$93,F150,D$93-SUM(E$100:E150))</f>
        <v>0</v>
      </c>
      <c r="E151" s="510">
        <f t="shared" si="14"/>
        <v>0</v>
      </c>
      <c r="F151" s="511">
        <f t="shared" si="15"/>
        <v>0</v>
      </c>
      <c r="G151" s="511">
        <f t="shared" si="16"/>
        <v>0</v>
      </c>
      <c r="H151" s="646">
        <f t="shared" si="19"/>
        <v>0</v>
      </c>
      <c r="I151" s="628">
        <f t="shared" si="18"/>
        <v>0</v>
      </c>
      <c r="J151" s="505">
        <f t="shared" si="20"/>
        <v>0</v>
      </c>
      <c r="K151" s="505"/>
      <c r="L151" s="513"/>
      <c r="M151" s="505">
        <f t="shared" si="21"/>
        <v>0</v>
      </c>
      <c r="N151" s="513"/>
      <c r="O151" s="505">
        <f t="shared" si="22"/>
        <v>0</v>
      </c>
      <c r="P151" s="505">
        <f t="shared" si="23"/>
        <v>0</v>
      </c>
    </row>
    <row r="152" spans="2:16">
      <c r="B152" s="145" t="str">
        <f t="shared" si="9"/>
        <v/>
      </c>
      <c r="C152" s="496">
        <f>IF(D94="","-",+C151+1)</f>
        <v>2072</v>
      </c>
      <c r="D152" s="350">
        <f>IF(F151+SUM(E$100:E151)=D$93,F151,D$93-SUM(E$100:E151))</f>
        <v>0</v>
      </c>
      <c r="E152" s="510">
        <f t="shared" si="14"/>
        <v>0</v>
      </c>
      <c r="F152" s="511">
        <f t="shared" si="15"/>
        <v>0</v>
      </c>
      <c r="G152" s="511">
        <f t="shared" si="16"/>
        <v>0</v>
      </c>
      <c r="H152" s="646">
        <f t="shared" si="19"/>
        <v>0</v>
      </c>
      <c r="I152" s="628">
        <f t="shared" si="18"/>
        <v>0</v>
      </c>
      <c r="J152" s="505">
        <f t="shared" si="20"/>
        <v>0</v>
      </c>
      <c r="K152" s="505"/>
      <c r="L152" s="513"/>
      <c r="M152" s="505">
        <f t="shared" si="21"/>
        <v>0</v>
      </c>
      <c r="N152" s="513"/>
      <c r="O152" s="505">
        <f t="shared" si="22"/>
        <v>0</v>
      </c>
      <c r="P152" s="505">
        <f t="shared" si="23"/>
        <v>0</v>
      </c>
    </row>
    <row r="153" spans="2:16">
      <c r="B153" s="145" t="str">
        <f t="shared" si="9"/>
        <v/>
      </c>
      <c r="C153" s="496">
        <f>IF(D94="","-",+C152+1)</f>
        <v>2073</v>
      </c>
      <c r="D153" s="350">
        <f>IF(F152+SUM(E$100:E152)=D$93,F152,D$93-SUM(E$100:E152))</f>
        <v>0</v>
      </c>
      <c r="E153" s="510">
        <f t="shared" si="14"/>
        <v>0</v>
      </c>
      <c r="F153" s="511">
        <f t="shared" si="15"/>
        <v>0</v>
      </c>
      <c r="G153" s="511">
        <f t="shared" si="16"/>
        <v>0</v>
      </c>
      <c r="H153" s="646">
        <f t="shared" si="19"/>
        <v>0</v>
      </c>
      <c r="I153" s="628">
        <f t="shared" si="18"/>
        <v>0</v>
      </c>
      <c r="J153" s="505">
        <f t="shared" si="20"/>
        <v>0</v>
      </c>
      <c r="K153" s="505"/>
      <c r="L153" s="513"/>
      <c r="M153" s="505">
        <f t="shared" si="21"/>
        <v>0</v>
      </c>
      <c r="N153" s="513"/>
      <c r="O153" s="505">
        <f t="shared" si="22"/>
        <v>0</v>
      </c>
      <c r="P153" s="505">
        <f t="shared" si="23"/>
        <v>0</v>
      </c>
    </row>
    <row r="154" spans="2:16">
      <c r="B154" s="145" t="str">
        <f t="shared" si="9"/>
        <v/>
      </c>
      <c r="C154" s="496">
        <f>IF(D94="","-",+C153+1)</f>
        <v>2074</v>
      </c>
      <c r="D154" s="350">
        <f>IF(F153+SUM(E$100:E153)=D$93,F153,D$93-SUM(E$100:E153))</f>
        <v>0</v>
      </c>
      <c r="E154" s="510">
        <f t="shared" si="14"/>
        <v>0</v>
      </c>
      <c r="F154" s="511">
        <f t="shared" si="15"/>
        <v>0</v>
      </c>
      <c r="G154" s="511">
        <f t="shared" si="16"/>
        <v>0</v>
      </c>
      <c r="H154" s="646">
        <f t="shared" si="19"/>
        <v>0</v>
      </c>
      <c r="I154" s="628">
        <f t="shared" si="18"/>
        <v>0</v>
      </c>
      <c r="J154" s="505">
        <f t="shared" si="20"/>
        <v>0</v>
      </c>
      <c r="K154" s="505"/>
      <c r="L154" s="513"/>
      <c r="M154" s="505">
        <f t="shared" si="21"/>
        <v>0</v>
      </c>
      <c r="N154" s="513"/>
      <c r="O154" s="505">
        <f t="shared" si="22"/>
        <v>0</v>
      </c>
      <c r="P154" s="505">
        <f t="shared" si="23"/>
        <v>0</v>
      </c>
    </row>
    <row r="155" spans="2:16" ht="13.5" thickBot="1">
      <c r="B155" s="145" t="str">
        <f t="shared" si="9"/>
        <v/>
      </c>
      <c r="C155" s="525">
        <f>IF(D94="","-",+C154+1)</f>
        <v>2075</v>
      </c>
      <c r="D155" s="636">
        <f>IF(F154+SUM(E$100:E154)=D$93,F154,D$93-SUM(E$100:E154))</f>
        <v>0</v>
      </c>
      <c r="E155" s="527">
        <f t="shared" si="14"/>
        <v>0</v>
      </c>
      <c r="F155" s="528">
        <f t="shared" si="15"/>
        <v>0</v>
      </c>
      <c r="G155" s="528">
        <f t="shared" si="16"/>
        <v>0</v>
      </c>
      <c r="H155" s="646">
        <f t="shared" si="19"/>
        <v>0</v>
      </c>
      <c r="I155" s="624">
        <f t="shared" si="18"/>
        <v>0</v>
      </c>
      <c r="J155" s="532">
        <f t="shared" si="20"/>
        <v>0</v>
      </c>
      <c r="K155" s="505"/>
      <c r="L155" s="531"/>
      <c r="M155" s="532">
        <f t="shared" si="21"/>
        <v>0</v>
      </c>
      <c r="N155" s="531"/>
      <c r="O155" s="532">
        <f t="shared" si="22"/>
        <v>0</v>
      </c>
      <c r="P155" s="532">
        <f t="shared" si="23"/>
        <v>0</v>
      </c>
    </row>
    <row r="156" spans="2:16">
      <c r="C156" s="350" t="s">
        <v>75</v>
      </c>
      <c r="D156" s="295"/>
      <c r="E156" s="295">
        <f>SUM(E100:E155)</f>
        <v>3608350</v>
      </c>
      <c r="F156" s="295"/>
      <c r="G156" s="295"/>
      <c r="H156" s="295">
        <f>SUM(H100:H155)</f>
        <v>8931168.7105161846</v>
      </c>
      <c r="I156" s="295">
        <f>SUM(I100:I155)</f>
        <v>8931168.7105161846</v>
      </c>
      <c r="J156" s="295">
        <f>SUM(J100:J155)</f>
        <v>0</v>
      </c>
      <c r="K156" s="295"/>
      <c r="L156" s="295"/>
      <c r="M156" s="295"/>
      <c r="N156" s="295"/>
      <c r="O156" s="295"/>
      <c r="P156" s="244"/>
    </row>
    <row r="157" spans="2:16">
      <c r="C157" s="145" t="s">
        <v>90</v>
      </c>
      <c r="D157" s="293"/>
      <c r="E157" s="244"/>
      <c r="F157" s="244"/>
      <c r="G157" s="244"/>
      <c r="H157" s="244"/>
      <c r="I157" s="326"/>
      <c r="J157" s="326"/>
      <c r="K157" s="295"/>
      <c r="L157" s="326"/>
      <c r="M157" s="326"/>
      <c r="N157" s="326"/>
      <c r="O157" s="326"/>
      <c r="P157" s="244"/>
    </row>
    <row r="158" spans="2:16">
      <c r="C158" s="575"/>
      <c r="D158" s="293"/>
      <c r="E158" s="244"/>
      <c r="F158" s="244"/>
      <c r="G158" s="244"/>
      <c r="H158" s="244"/>
      <c r="I158" s="326"/>
      <c r="J158" s="326"/>
      <c r="K158" s="295"/>
      <c r="L158" s="326"/>
      <c r="M158" s="326"/>
      <c r="N158" s="326"/>
      <c r="O158" s="326"/>
      <c r="P158" s="244"/>
    </row>
    <row r="159" spans="2:16">
      <c r="C159" s="620" t="s">
        <v>130</v>
      </c>
      <c r="D159" s="293"/>
      <c r="E159" s="244"/>
      <c r="F159" s="244"/>
      <c r="G159" s="244"/>
      <c r="H159" s="244"/>
      <c r="I159" s="326"/>
      <c r="J159" s="326"/>
      <c r="K159" s="295"/>
      <c r="L159" s="326"/>
      <c r="M159" s="326"/>
      <c r="N159" s="326"/>
      <c r="O159" s="326"/>
      <c r="P159" s="244"/>
    </row>
    <row r="160" spans="2:16">
      <c r="C160" s="455" t="s">
        <v>76</v>
      </c>
      <c r="D160" s="350"/>
      <c r="E160" s="350"/>
      <c r="F160" s="350"/>
      <c r="G160" s="350"/>
      <c r="H160" s="295"/>
      <c r="I160" s="295"/>
      <c r="J160" s="351"/>
      <c r="K160" s="351"/>
      <c r="L160" s="351"/>
      <c r="M160" s="351"/>
      <c r="N160" s="351"/>
      <c r="O160" s="351"/>
      <c r="P160" s="244"/>
    </row>
    <row r="161" spans="3:16">
      <c r="C161" s="576" t="s">
        <v>77</v>
      </c>
      <c r="D161" s="350"/>
      <c r="E161" s="350"/>
      <c r="F161" s="350"/>
      <c r="G161" s="350"/>
      <c r="H161" s="295"/>
      <c r="I161" s="295"/>
      <c r="J161" s="351"/>
      <c r="K161" s="351"/>
      <c r="L161" s="351"/>
      <c r="M161" s="351"/>
      <c r="N161" s="351"/>
      <c r="O161" s="351"/>
      <c r="P161" s="244"/>
    </row>
    <row r="162" spans="3:16">
      <c r="C162" s="576"/>
      <c r="D162" s="350"/>
      <c r="E162" s="350"/>
      <c r="F162" s="350"/>
      <c r="G162" s="350"/>
      <c r="H162" s="295"/>
      <c r="I162" s="295"/>
      <c r="J162" s="351"/>
      <c r="K162" s="351"/>
      <c r="L162" s="351"/>
      <c r="M162" s="351"/>
      <c r="N162" s="351"/>
      <c r="O162" s="351"/>
      <c r="P162" s="244"/>
    </row>
    <row r="163" spans="3:16" ht="18">
      <c r="C163" s="576"/>
      <c r="D163" s="350"/>
      <c r="E163" s="350"/>
      <c r="F163" s="350"/>
      <c r="G163" s="350"/>
      <c r="H163" s="295"/>
      <c r="I163" s="295"/>
      <c r="J163" s="351"/>
      <c r="K163" s="351"/>
      <c r="L163" s="351"/>
      <c r="M163" s="351"/>
      <c r="N163" s="351"/>
      <c r="P163" s="584"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8"/>
  <dimension ref="A1:P163"/>
  <sheetViews>
    <sheetView topLeftCell="F79" zoomScaleNormal="100" workbookViewId="0">
      <selection activeCell="M88" sqref="M88"/>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nk of 20</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0</v>
      </c>
      <c r="P5" s="1"/>
    </row>
    <row r="6" spans="1:16" ht="15.75">
      <c r="C6" s="8"/>
      <c r="D6" s="2"/>
      <c r="E6" s="1"/>
      <c r="F6" s="1"/>
      <c r="G6" s="1"/>
      <c r="H6" s="26"/>
      <c r="I6" s="26"/>
      <c r="J6" s="27"/>
      <c r="K6" s="28" t="s">
        <v>243</v>
      </c>
      <c r="L6" s="29"/>
      <c r="M6" s="4"/>
      <c r="N6" s="30">
        <f>VLOOKUP(I10,C17:I73,6)</f>
        <v>0</v>
      </c>
      <c r="O6" s="1"/>
      <c r="P6" s="1"/>
    </row>
    <row r="7" spans="1:16" ht="13.5" thickBot="1">
      <c r="C7" s="31" t="s">
        <v>46</v>
      </c>
      <c r="D7" s="104" t="s">
        <v>245</v>
      </c>
      <c r="E7" s="1"/>
      <c r="F7" s="1"/>
      <c r="G7" s="1"/>
      <c r="H7" s="3"/>
      <c r="I7" s="3"/>
      <c r="J7" s="19"/>
      <c r="K7" s="32" t="s">
        <v>47</v>
      </c>
      <c r="L7" s="33"/>
      <c r="M7" s="33"/>
      <c r="N7" s="34">
        <f>+N6-N5</f>
        <v>0</v>
      </c>
      <c r="O7" s="1"/>
      <c r="P7" s="1"/>
    </row>
    <row r="8" spans="1:16" ht="13.5" thickBot="1">
      <c r="C8" s="35"/>
      <c r="D8" s="114" t="str">
        <f>IF(D10&lt;100000,"DOES NOT MEET SPP $100,000 MINIMUM INVESTMENT FOR REGIONAL BPU SHARING.","")</f>
        <v>DOES NOT MEET SPP $100,000 MINIMUM INVESTMENT FOR REGIONAL BPU SHARING.</v>
      </c>
      <c r="E8" s="36"/>
      <c r="F8" s="36"/>
      <c r="G8" s="36"/>
      <c r="H8" s="36"/>
      <c r="I8" s="36"/>
      <c r="J8" s="15"/>
      <c r="K8" s="36"/>
      <c r="L8" s="36"/>
      <c r="M8" s="36"/>
      <c r="N8" s="36"/>
      <c r="O8" s="15"/>
      <c r="P8" s="9"/>
    </row>
    <row r="9" spans="1:16" ht="13.5" thickBot="1">
      <c r="C9" s="37" t="s">
        <v>48</v>
      </c>
      <c r="D9" s="106" t="s">
        <v>78</v>
      </c>
      <c r="E9" s="38"/>
      <c r="F9" s="38"/>
      <c r="G9" s="38"/>
      <c r="H9" s="38"/>
      <c r="I9" s="39"/>
      <c r="J9" s="40"/>
      <c r="O9" s="41"/>
      <c r="P9" s="4"/>
    </row>
    <row r="10" spans="1:16">
      <c r="C10" s="42" t="s">
        <v>49</v>
      </c>
      <c r="D10" s="43">
        <v>0</v>
      </c>
      <c r="E10" s="11" t="s">
        <v>50</v>
      </c>
      <c r="F10" s="41"/>
      <c r="G10" s="44"/>
      <c r="H10" s="44"/>
      <c r="I10" s="45">
        <f>+'OKT.WS.F.BPU.ATRR.Projected'!R100</f>
        <v>2020</v>
      </c>
      <c r="J10" s="40"/>
      <c r="K10" s="19" t="s">
        <v>51</v>
      </c>
      <c r="O10" s="4"/>
      <c r="P10" s="4"/>
    </row>
    <row r="11" spans="1:16">
      <c r="C11" s="46" t="s">
        <v>52</v>
      </c>
      <c r="D11" s="47">
        <v>2018</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4</v>
      </c>
      <c r="E12" s="46" t="s">
        <v>55</v>
      </c>
      <c r="F12" s="44"/>
      <c r="G12" s="7"/>
      <c r="H12" s="7"/>
      <c r="I12" s="50">
        <f>'OKT.WS.F.BPU.ATRR.Projected'!$F$78</f>
        <v>0.1064171487591708</v>
      </c>
      <c r="J12" s="51"/>
      <c r="K12" t="s">
        <v>56</v>
      </c>
      <c r="O12" s="4"/>
      <c r="P12" s="4"/>
    </row>
    <row r="13" spans="1:16">
      <c r="C13" s="46" t="s">
        <v>57</v>
      </c>
      <c r="D13" s="48">
        <f>+'OKT.WS.F.BPU.ATRR.Projected'!F$89</f>
        <v>34</v>
      </c>
      <c r="E13" s="46" t="s">
        <v>58</v>
      </c>
      <c r="F13" s="44"/>
      <c r="G13" s="7"/>
      <c r="H13" s="7"/>
      <c r="I13" s="50">
        <f>IF(G5="",I12,'OKT.WS.F.BPU.ATRR.Projected'!$F$77)</f>
        <v>0.1064171487591708</v>
      </c>
      <c r="J13" s="51"/>
      <c r="K13" s="19" t="s">
        <v>59</v>
      </c>
      <c r="L13" s="10"/>
      <c r="M13" s="10"/>
      <c r="N13" s="10"/>
      <c r="O13" s="4"/>
      <c r="P13" s="4"/>
    </row>
    <row r="14" spans="1:16" ht="13.5" thickBot="1">
      <c r="C14" s="46" t="s">
        <v>60</v>
      </c>
      <c r="D14" s="47" t="s">
        <v>61</v>
      </c>
      <c r="E14" s="4" t="s">
        <v>62</v>
      </c>
      <c r="F14" s="44"/>
      <c r="G14" s="7"/>
      <c r="H14" s="7"/>
      <c r="I14" s="52">
        <f>IF(D10=0,0,D10/D13)</f>
        <v>0</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2018</v>
      </c>
      <c r="D17" s="63">
        <v>0</v>
      </c>
      <c r="E17" s="64">
        <f>IF(D10&gt;=100000,I$14/12*(12-D12),0)</f>
        <v>0</v>
      </c>
      <c r="F17" s="68">
        <f>IF(D11=C17,+D10-E17,+D17-E17)</f>
        <v>0</v>
      </c>
      <c r="G17" s="64">
        <f>(D17+F17)/2*I$12+E17</f>
        <v>0</v>
      </c>
      <c r="H17" s="52">
        <f>+(D17+F17)/2*I$13+E17</f>
        <v>0</v>
      </c>
      <c r="I17" s="65">
        <f t="shared" ref="I17:I48" si="1">H17-G17</f>
        <v>0</v>
      </c>
      <c r="J17" s="65"/>
      <c r="K17" s="132"/>
      <c r="L17" s="66">
        <f t="shared" ref="L17:L48" si="2">IF(K17&lt;&gt;0,+G17-K17,0)</f>
        <v>0</v>
      </c>
      <c r="M17" s="132"/>
      <c r="N17" s="66">
        <f t="shared" ref="N17:N48" si="3">IF(M17&lt;&gt;0,+H17-M17,0)</f>
        <v>0</v>
      </c>
      <c r="O17" s="67">
        <f t="shared" ref="O17:O48" si="4">+N17-L17</f>
        <v>0</v>
      </c>
      <c r="P17" s="4"/>
    </row>
    <row r="18" spans="2:16">
      <c r="B18" t="str">
        <f t="shared" si="0"/>
        <v/>
      </c>
      <c r="C18" s="62">
        <f>IF(D11="","-",+C17+1)</f>
        <v>2019</v>
      </c>
      <c r="D18" s="71">
        <f>IF(F17+SUM(E$17:E17)=D$10,F17,D$10-SUM(E$17:E17))</f>
        <v>0</v>
      </c>
      <c r="E18" s="69">
        <f t="shared" ref="E18:E49" si="5">IF(+I$14&lt;F17,I$14,D18)</f>
        <v>0</v>
      </c>
      <c r="F18" s="68">
        <f t="shared" ref="F18:F48"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c r="B19" t="str">
        <f t="shared" si="0"/>
        <v/>
      </c>
      <c r="C19" s="62">
        <f>IF(D11="","-",+C18+1)</f>
        <v>2020</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c r="B20" t="str">
        <f t="shared" si="0"/>
        <v/>
      </c>
      <c r="C20" s="62">
        <f>IF(D11="","-",+C19+1)</f>
        <v>2021</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c r="B21" t="str">
        <f t="shared" si="0"/>
        <v/>
      </c>
      <c r="C21" s="62">
        <f>IF(D11="","-",+C20+1)</f>
        <v>2022</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c r="B22" t="str">
        <f t="shared" si="0"/>
        <v/>
      </c>
      <c r="C22" s="62">
        <f>IF(D11="","-",+C21+1)</f>
        <v>2023</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c r="B23" t="str">
        <f t="shared" si="0"/>
        <v/>
      </c>
      <c r="C23" s="62">
        <f>IF(D11="","-",+C22+1)</f>
        <v>2024</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c r="B24" t="str">
        <f t="shared" si="0"/>
        <v/>
      </c>
      <c r="C24" s="62">
        <f>IF(D11="","-",+C23+1)</f>
        <v>2025</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c r="B25" t="str">
        <f t="shared" si="0"/>
        <v/>
      </c>
      <c r="C25" s="62">
        <f>IF(D11="","-",+C24+1)</f>
        <v>2026</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c r="B26" t="str">
        <f t="shared" si="0"/>
        <v/>
      </c>
      <c r="C26" s="62">
        <f>IF(D11="","-",+C25+1)</f>
        <v>2027</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c r="B27" t="str">
        <f t="shared" si="0"/>
        <v/>
      </c>
      <c r="C27" s="62">
        <f>IF(D11="","-",+C26+1)</f>
        <v>2028</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c r="B28" t="str">
        <f t="shared" si="0"/>
        <v/>
      </c>
      <c r="C28" s="62">
        <f>IF(D11="","-",+C27+1)</f>
        <v>2029</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c r="B29" t="str">
        <f t="shared" si="0"/>
        <v/>
      </c>
      <c r="C29" s="62">
        <f>IF(D11="","-",+C28+1)</f>
        <v>2030</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c r="B30" t="str">
        <f t="shared" si="0"/>
        <v/>
      </c>
      <c r="C30" s="62">
        <f>IF(D11="","-",+C29+1)</f>
        <v>2031</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c r="B31" t="str">
        <f t="shared" si="0"/>
        <v/>
      </c>
      <c r="C31" s="62">
        <f>IF(D11="","-",+C30+1)</f>
        <v>2032</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c r="B32" t="str">
        <f t="shared" si="0"/>
        <v/>
      </c>
      <c r="C32" s="62">
        <f>IF(D11="","-",+C31+1)</f>
        <v>2033</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c r="B33" t="str">
        <f t="shared" si="0"/>
        <v/>
      </c>
      <c r="C33" s="62">
        <f>IF(D11="","-",+C32+1)</f>
        <v>2034</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c r="B34" t="str">
        <f t="shared" si="0"/>
        <v/>
      </c>
      <c r="C34" s="62">
        <f>IF(D11="","-",+C33+1)</f>
        <v>2035</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c r="B35" t="str">
        <f t="shared" si="0"/>
        <v/>
      </c>
      <c r="C35" s="62">
        <f>IF(D11="","-",+C34+1)</f>
        <v>2036</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c r="B36" t="str">
        <f t="shared" si="0"/>
        <v/>
      </c>
      <c r="C36" s="62">
        <f>IF(D11="","-",+C35+1)</f>
        <v>2037</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c r="B37" t="str">
        <f t="shared" si="0"/>
        <v/>
      </c>
      <c r="C37" s="62">
        <f>IF(D11="","-",+C36+1)</f>
        <v>2038</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c r="B38" t="str">
        <f t="shared" si="0"/>
        <v/>
      </c>
      <c r="C38" s="62">
        <f>IF(D11="","-",+C37+1)</f>
        <v>2039</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c r="B39" t="str">
        <f t="shared" si="0"/>
        <v/>
      </c>
      <c r="C39" s="62">
        <f>IF(D11="","-",+C38+1)</f>
        <v>2040</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c r="B40" t="str">
        <f t="shared" si="0"/>
        <v/>
      </c>
      <c r="C40" s="62">
        <f>IF(D11="","-",+C39+1)</f>
        <v>2041</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c r="B41" t="str">
        <f t="shared" si="0"/>
        <v/>
      </c>
      <c r="C41" s="62">
        <f>IF(D11="","-",+C40+1)</f>
        <v>2042</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c r="B42" t="str">
        <f t="shared" si="0"/>
        <v/>
      </c>
      <c r="C42" s="62">
        <f>IF(D11="","-",+C41+1)</f>
        <v>2043</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c r="B43" t="str">
        <f t="shared" si="0"/>
        <v/>
      </c>
      <c r="C43" s="62">
        <f>IF(D11="","-",+C42+1)</f>
        <v>2044</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c r="B44" t="str">
        <f t="shared" si="0"/>
        <v/>
      </c>
      <c r="C44" s="62">
        <f>IF(D11="","-",+C43+1)</f>
        <v>2045</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c r="B45" t="str">
        <f t="shared" si="0"/>
        <v/>
      </c>
      <c r="C45" s="62">
        <f>IF(D11="","-",+C44+1)</f>
        <v>2046</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c r="B46" t="str">
        <f t="shared" si="0"/>
        <v/>
      </c>
      <c r="C46" s="62">
        <f>IF(D11="","-",+C45+1)</f>
        <v>2047</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c r="B47" t="str">
        <f t="shared" si="0"/>
        <v/>
      </c>
      <c r="C47" s="62">
        <f>IF(D11="","-",+C46+1)</f>
        <v>2048</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c r="B48" t="str">
        <f t="shared" si="0"/>
        <v/>
      </c>
      <c r="C48" s="62">
        <f>IF(D11="","-",+C47+1)</f>
        <v>2049</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c r="B49" t="str">
        <f t="shared" si="0"/>
        <v/>
      </c>
      <c r="C49" s="62">
        <f>IF(D11="","-",+C48+1)</f>
        <v>2050</v>
      </c>
      <c r="D49" s="71">
        <f>IF(F48+SUM(E$17:E48)=D$10,F48,D$10-SUM(E$17:E48))</f>
        <v>0</v>
      </c>
      <c r="E49" s="69">
        <f t="shared" si="5"/>
        <v>0</v>
      </c>
      <c r="F49" s="68">
        <f t="shared" ref="F49:F71" si="9">+D49-E49</f>
        <v>0</v>
      </c>
      <c r="G49" s="70">
        <f t="shared" si="7"/>
        <v>0</v>
      </c>
      <c r="H49" s="52">
        <f t="shared" si="8"/>
        <v>0</v>
      </c>
      <c r="I49" s="65">
        <f t="shared" ref="I49:I71" si="10">H49-G49</f>
        <v>0</v>
      </c>
      <c r="J49" s="65"/>
      <c r="K49" s="130"/>
      <c r="L49" s="67">
        <f t="shared" ref="L49:L71" si="11">IF(K49&lt;&gt;0,+G49-K49,0)</f>
        <v>0</v>
      </c>
      <c r="M49" s="130"/>
      <c r="N49" s="67">
        <f t="shared" ref="N49:N71" si="12">IF(M49&lt;&gt;0,+H49-M49,0)</f>
        <v>0</v>
      </c>
      <c r="O49" s="67">
        <f t="shared" ref="O49:O71" si="13">+N49-L49</f>
        <v>0</v>
      </c>
      <c r="P49" s="4"/>
    </row>
    <row r="50" spans="2:16">
      <c r="B50" t="str">
        <f t="shared" si="0"/>
        <v/>
      </c>
      <c r="C50" s="62">
        <f>IF(D11="","-",+C49+1)</f>
        <v>2051</v>
      </c>
      <c r="D50" s="71">
        <f>IF(F49+SUM(E$17:E49)=D$10,F49,D$10-SUM(E$17:E49))</f>
        <v>0</v>
      </c>
      <c r="E50" s="69">
        <f t="shared" ref="E50:E71" si="14">IF(+I$14&lt;F49,I$14,D50)</f>
        <v>0</v>
      </c>
      <c r="F50" s="68">
        <f t="shared" si="9"/>
        <v>0</v>
      </c>
      <c r="G50" s="70">
        <f t="shared" si="7"/>
        <v>0</v>
      </c>
      <c r="H50" s="52">
        <f t="shared" si="8"/>
        <v>0</v>
      </c>
      <c r="I50" s="65">
        <f t="shared" si="10"/>
        <v>0</v>
      </c>
      <c r="J50" s="65"/>
      <c r="K50" s="130"/>
      <c r="L50" s="67">
        <f t="shared" si="11"/>
        <v>0</v>
      </c>
      <c r="M50" s="130"/>
      <c r="N50" s="67">
        <f t="shared" si="12"/>
        <v>0</v>
      </c>
      <c r="O50" s="67">
        <f t="shared" si="13"/>
        <v>0</v>
      </c>
      <c r="P50" s="4"/>
    </row>
    <row r="51" spans="2:16">
      <c r="B51" t="str">
        <f t="shared" si="0"/>
        <v/>
      </c>
      <c r="C51" s="62">
        <f>IF(D11="","-",+C50+1)</f>
        <v>2052</v>
      </c>
      <c r="D51" s="71">
        <f>IF(F50+SUM(E$17:E50)=D$10,F50,D$10-SUM(E$17:E50))</f>
        <v>0</v>
      </c>
      <c r="E51" s="69">
        <f t="shared" si="14"/>
        <v>0</v>
      </c>
      <c r="F51" s="68">
        <f t="shared" si="9"/>
        <v>0</v>
      </c>
      <c r="G51" s="70">
        <f t="shared" si="7"/>
        <v>0</v>
      </c>
      <c r="H51" s="52">
        <f t="shared" si="8"/>
        <v>0</v>
      </c>
      <c r="I51" s="65">
        <f t="shared" si="10"/>
        <v>0</v>
      </c>
      <c r="J51" s="65"/>
      <c r="K51" s="130"/>
      <c r="L51" s="67">
        <f t="shared" si="11"/>
        <v>0</v>
      </c>
      <c r="M51" s="130"/>
      <c r="N51" s="67">
        <f t="shared" si="12"/>
        <v>0</v>
      </c>
      <c r="O51" s="67">
        <f t="shared" si="13"/>
        <v>0</v>
      </c>
      <c r="P51" s="4"/>
    </row>
    <row r="52" spans="2:16">
      <c r="B52" t="str">
        <f t="shared" si="0"/>
        <v/>
      </c>
      <c r="C52" s="62">
        <f>IF(D11="","-",+C51+1)</f>
        <v>2053</v>
      </c>
      <c r="D52" s="71">
        <f>IF(F51+SUM(E$17:E51)=D$10,F51,D$10-SUM(E$17:E51))</f>
        <v>0</v>
      </c>
      <c r="E52" s="69">
        <f t="shared" si="14"/>
        <v>0</v>
      </c>
      <c r="F52" s="68">
        <f t="shared" si="9"/>
        <v>0</v>
      </c>
      <c r="G52" s="70">
        <f t="shared" si="7"/>
        <v>0</v>
      </c>
      <c r="H52" s="52">
        <f t="shared" si="8"/>
        <v>0</v>
      </c>
      <c r="I52" s="65">
        <f t="shared" si="10"/>
        <v>0</v>
      </c>
      <c r="J52" s="65"/>
      <c r="K52" s="130"/>
      <c r="L52" s="67">
        <f t="shared" si="11"/>
        <v>0</v>
      </c>
      <c r="M52" s="130"/>
      <c r="N52" s="67">
        <f t="shared" si="12"/>
        <v>0</v>
      </c>
      <c r="O52" s="67">
        <f t="shared" si="13"/>
        <v>0</v>
      </c>
      <c r="P52" s="4"/>
    </row>
    <row r="53" spans="2:16">
      <c r="B53" t="str">
        <f t="shared" si="0"/>
        <v/>
      </c>
      <c r="C53" s="62">
        <f>IF(D11="","-",+C52+1)</f>
        <v>2054</v>
      </c>
      <c r="D53" s="71">
        <f>IF(F52+SUM(E$17:E52)=D$10,F52,D$10-SUM(E$17:E52))</f>
        <v>0</v>
      </c>
      <c r="E53" s="69">
        <f t="shared" si="14"/>
        <v>0</v>
      </c>
      <c r="F53" s="68">
        <f t="shared" si="9"/>
        <v>0</v>
      </c>
      <c r="G53" s="70">
        <f t="shared" si="7"/>
        <v>0</v>
      </c>
      <c r="H53" s="52">
        <f t="shared" si="8"/>
        <v>0</v>
      </c>
      <c r="I53" s="65">
        <f t="shared" si="10"/>
        <v>0</v>
      </c>
      <c r="J53" s="65"/>
      <c r="K53" s="130"/>
      <c r="L53" s="67">
        <f t="shared" si="11"/>
        <v>0</v>
      </c>
      <c r="M53" s="130"/>
      <c r="N53" s="67">
        <f t="shared" si="12"/>
        <v>0</v>
      </c>
      <c r="O53" s="67">
        <f t="shared" si="13"/>
        <v>0</v>
      </c>
      <c r="P53" s="4"/>
    </row>
    <row r="54" spans="2:16">
      <c r="B54" t="str">
        <f t="shared" si="0"/>
        <v/>
      </c>
      <c r="C54" s="62">
        <f>IF(D11="","-",+C53+1)</f>
        <v>2055</v>
      </c>
      <c r="D54" s="71">
        <f>IF(F53+SUM(E$17:E53)=D$10,F53,D$10-SUM(E$17:E53))</f>
        <v>0</v>
      </c>
      <c r="E54" s="69">
        <f t="shared" si="14"/>
        <v>0</v>
      </c>
      <c r="F54" s="68">
        <f t="shared" si="9"/>
        <v>0</v>
      </c>
      <c r="G54" s="70">
        <f t="shared" si="7"/>
        <v>0</v>
      </c>
      <c r="H54" s="52">
        <f t="shared" si="8"/>
        <v>0</v>
      </c>
      <c r="I54" s="65">
        <f t="shared" si="10"/>
        <v>0</v>
      </c>
      <c r="J54" s="65"/>
      <c r="K54" s="130"/>
      <c r="L54" s="67">
        <f t="shared" si="11"/>
        <v>0</v>
      </c>
      <c r="M54" s="130"/>
      <c r="N54" s="67">
        <f t="shared" si="12"/>
        <v>0</v>
      </c>
      <c r="O54" s="67">
        <f t="shared" si="13"/>
        <v>0</v>
      </c>
      <c r="P54" s="4"/>
    </row>
    <row r="55" spans="2:16">
      <c r="B55" t="str">
        <f t="shared" si="0"/>
        <v/>
      </c>
      <c r="C55" s="62">
        <f>IF(D11="","-",+C54+1)</f>
        <v>2056</v>
      </c>
      <c r="D55" s="71">
        <f>IF(F54+SUM(E$17:E54)=D$10,F54,D$10-SUM(E$17:E54))</f>
        <v>0</v>
      </c>
      <c r="E55" s="69">
        <f t="shared" si="14"/>
        <v>0</v>
      </c>
      <c r="F55" s="68">
        <f t="shared" si="9"/>
        <v>0</v>
      </c>
      <c r="G55" s="70">
        <f t="shared" si="7"/>
        <v>0</v>
      </c>
      <c r="H55" s="52">
        <f t="shared" si="8"/>
        <v>0</v>
      </c>
      <c r="I55" s="65">
        <f t="shared" si="10"/>
        <v>0</v>
      </c>
      <c r="J55" s="65"/>
      <c r="K55" s="130"/>
      <c r="L55" s="67">
        <f t="shared" si="11"/>
        <v>0</v>
      </c>
      <c r="M55" s="130"/>
      <c r="N55" s="67">
        <f t="shared" si="12"/>
        <v>0</v>
      </c>
      <c r="O55" s="67">
        <f t="shared" si="13"/>
        <v>0</v>
      </c>
      <c r="P55" s="4"/>
    </row>
    <row r="56" spans="2:16">
      <c r="B56" t="str">
        <f t="shared" si="0"/>
        <v/>
      </c>
      <c r="C56" s="62">
        <f>IF(D11="","-",+C55+1)</f>
        <v>2057</v>
      </c>
      <c r="D56" s="71">
        <f>IF(F55+SUM(E$17:E55)=D$10,F55,D$10-SUM(E$17:E55))</f>
        <v>0</v>
      </c>
      <c r="E56" s="69">
        <f t="shared" si="14"/>
        <v>0</v>
      </c>
      <c r="F56" s="68">
        <f t="shared" si="9"/>
        <v>0</v>
      </c>
      <c r="G56" s="70">
        <f t="shared" si="7"/>
        <v>0</v>
      </c>
      <c r="H56" s="52">
        <f t="shared" si="8"/>
        <v>0</v>
      </c>
      <c r="I56" s="65">
        <f t="shared" si="10"/>
        <v>0</v>
      </c>
      <c r="J56" s="65"/>
      <c r="K56" s="130"/>
      <c r="L56" s="67">
        <f t="shared" si="11"/>
        <v>0</v>
      </c>
      <c r="M56" s="130"/>
      <c r="N56" s="67">
        <f t="shared" si="12"/>
        <v>0</v>
      </c>
      <c r="O56" s="67">
        <f t="shared" si="13"/>
        <v>0</v>
      </c>
      <c r="P56" s="4"/>
    </row>
    <row r="57" spans="2:16">
      <c r="B57" t="str">
        <f t="shared" si="0"/>
        <v/>
      </c>
      <c r="C57" s="62">
        <f>IF(D11="","-",+C56+1)</f>
        <v>2058</v>
      </c>
      <c r="D57" s="71">
        <f>IF(F56+SUM(E$17:E56)=D$10,F56,D$10-SUM(E$17:E56))</f>
        <v>0</v>
      </c>
      <c r="E57" s="69">
        <f t="shared" si="14"/>
        <v>0</v>
      </c>
      <c r="F57" s="68">
        <f t="shared" si="9"/>
        <v>0</v>
      </c>
      <c r="G57" s="70">
        <f t="shared" si="7"/>
        <v>0</v>
      </c>
      <c r="H57" s="52">
        <f t="shared" si="8"/>
        <v>0</v>
      </c>
      <c r="I57" s="65">
        <f t="shared" si="10"/>
        <v>0</v>
      </c>
      <c r="J57" s="65"/>
      <c r="K57" s="130"/>
      <c r="L57" s="67">
        <f t="shared" si="11"/>
        <v>0</v>
      </c>
      <c r="M57" s="130"/>
      <c r="N57" s="67">
        <f t="shared" si="12"/>
        <v>0</v>
      </c>
      <c r="O57" s="67">
        <f t="shared" si="13"/>
        <v>0</v>
      </c>
      <c r="P57" s="4"/>
    </row>
    <row r="58" spans="2:16">
      <c r="B58" t="str">
        <f t="shared" si="0"/>
        <v/>
      </c>
      <c r="C58" s="62">
        <f>IF(D11="","-",+C57+1)</f>
        <v>2059</v>
      </c>
      <c r="D58" s="71">
        <f>IF(F57+SUM(E$17:E57)=D$10,F57,D$10-SUM(E$17:E57))</f>
        <v>0</v>
      </c>
      <c r="E58" s="69">
        <f t="shared" si="14"/>
        <v>0</v>
      </c>
      <c r="F58" s="68">
        <f t="shared" si="9"/>
        <v>0</v>
      </c>
      <c r="G58" s="70">
        <f t="shared" si="7"/>
        <v>0</v>
      </c>
      <c r="H58" s="52">
        <f t="shared" si="8"/>
        <v>0</v>
      </c>
      <c r="I58" s="65">
        <f t="shared" si="10"/>
        <v>0</v>
      </c>
      <c r="J58" s="65"/>
      <c r="K58" s="130"/>
      <c r="L58" s="67">
        <f t="shared" si="11"/>
        <v>0</v>
      </c>
      <c r="M58" s="130"/>
      <c r="N58" s="67">
        <f t="shared" si="12"/>
        <v>0</v>
      </c>
      <c r="O58" s="67">
        <f t="shared" si="13"/>
        <v>0</v>
      </c>
      <c r="P58" s="4"/>
    </row>
    <row r="59" spans="2:16">
      <c r="B59" t="str">
        <f t="shared" si="0"/>
        <v/>
      </c>
      <c r="C59" s="62">
        <f>IF(D11="","-",+C58+1)</f>
        <v>2060</v>
      </c>
      <c r="D59" s="71">
        <f>IF(F58+SUM(E$17:E58)=D$10,F58,D$10-SUM(E$17:E58))</f>
        <v>0</v>
      </c>
      <c r="E59" s="69">
        <f t="shared" si="14"/>
        <v>0</v>
      </c>
      <c r="F59" s="68">
        <f t="shared" si="9"/>
        <v>0</v>
      </c>
      <c r="G59" s="70">
        <f t="shared" si="7"/>
        <v>0</v>
      </c>
      <c r="H59" s="52">
        <f t="shared" si="8"/>
        <v>0</v>
      </c>
      <c r="I59" s="65">
        <f t="shared" si="10"/>
        <v>0</v>
      </c>
      <c r="J59" s="65"/>
      <c r="K59" s="130"/>
      <c r="L59" s="67">
        <f t="shared" si="11"/>
        <v>0</v>
      </c>
      <c r="M59" s="130"/>
      <c r="N59" s="67">
        <f t="shared" si="12"/>
        <v>0</v>
      </c>
      <c r="O59" s="67">
        <f t="shared" si="13"/>
        <v>0</v>
      </c>
      <c r="P59" s="4"/>
    </row>
    <row r="60" spans="2:16">
      <c r="B60" t="str">
        <f t="shared" si="0"/>
        <v/>
      </c>
      <c r="C60" s="62">
        <f>IF(D11="","-",+C59+1)</f>
        <v>2061</v>
      </c>
      <c r="D60" s="71">
        <f>IF(F59+SUM(E$17:E59)=D$10,F59,D$10-SUM(E$17:E59))</f>
        <v>0</v>
      </c>
      <c r="E60" s="69">
        <f t="shared" si="14"/>
        <v>0</v>
      </c>
      <c r="F60" s="68">
        <f t="shared" si="9"/>
        <v>0</v>
      </c>
      <c r="G60" s="70">
        <f t="shared" si="7"/>
        <v>0</v>
      </c>
      <c r="H60" s="52">
        <f t="shared" si="8"/>
        <v>0</v>
      </c>
      <c r="I60" s="65">
        <f t="shared" si="10"/>
        <v>0</v>
      </c>
      <c r="J60" s="65"/>
      <c r="K60" s="130"/>
      <c r="L60" s="67">
        <f t="shared" si="11"/>
        <v>0</v>
      </c>
      <c r="M60" s="130"/>
      <c r="N60" s="67">
        <f t="shared" si="12"/>
        <v>0</v>
      </c>
      <c r="O60" s="67">
        <f t="shared" si="13"/>
        <v>0</v>
      </c>
      <c r="P60" s="4"/>
    </row>
    <row r="61" spans="2:16">
      <c r="B61" t="str">
        <f t="shared" si="0"/>
        <v/>
      </c>
      <c r="C61" s="62">
        <f>IF(D11="","-",+C60+1)</f>
        <v>2062</v>
      </c>
      <c r="D61" s="71">
        <f>IF(F60+SUM(E$17:E60)=D$10,F60,D$10-SUM(E$17:E60))</f>
        <v>0</v>
      </c>
      <c r="E61" s="69">
        <f t="shared" si="14"/>
        <v>0</v>
      </c>
      <c r="F61" s="68">
        <f t="shared" si="9"/>
        <v>0</v>
      </c>
      <c r="G61" s="72">
        <f t="shared" si="7"/>
        <v>0</v>
      </c>
      <c r="H61" s="52">
        <f t="shared" si="8"/>
        <v>0</v>
      </c>
      <c r="I61" s="65">
        <f t="shared" si="10"/>
        <v>0</v>
      </c>
      <c r="J61" s="65"/>
      <c r="K61" s="130"/>
      <c r="L61" s="67">
        <f t="shared" si="11"/>
        <v>0</v>
      </c>
      <c r="M61" s="130"/>
      <c r="N61" s="67">
        <f t="shared" si="12"/>
        <v>0</v>
      </c>
      <c r="O61" s="67">
        <f t="shared" si="13"/>
        <v>0</v>
      </c>
      <c r="P61" s="4"/>
    </row>
    <row r="62" spans="2:16">
      <c r="B62" t="str">
        <f t="shared" si="0"/>
        <v/>
      </c>
      <c r="C62" s="62">
        <f>IF(D11="","-",+C61+1)</f>
        <v>2063</v>
      </c>
      <c r="D62" s="71">
        <f>IF(F61+SUM(E$17:E61)=D$10,F61,D$10-SUM(E$17:E61))</f>
        <v>0</v>
      </c>
      <c r="E62" s="69">
        <f t="shared" si="14"/>
        <v>0</v>
      </c>
      <c r="F62" s="68">
        <f t="shared" si="9"/>
        <v>0</v>
      </c>
      <c r="G62" s="72">
        <f t="shared" si="7"/>
        <v>0</v>
      </c>
      <c r="H62" s="52">
        <f t="shared" si="8"/>
        <v>0</v>
      </c>
      <c r="I62" s="65">
        <f t="shared" si="10"/>
        <v>0</v>
      </c>
      <c r="J62" s="65"/>
      <c r="K62" s="130"/>
      <c r="L62" s="67">
        <f t="shared" si="11"/>
        <v>0</v>
      </c>
      <c r="M62" s="130"/>
      <c r="N62" s="67">
        <f t="shared" si="12"/>
        <v>0</v>
      </c>
      <c r="O62" s="67">
        <f t="shared" si="13"/>
        <v>0</v>
      </c>
      <c r="P62" s="4"/>
    </row>
    <row r="63" spans="2:16">
      <c r="B63" t="str">
        <f t="shared" si="0"/>
        <v/>
      </c>
      <c r="C63" s="62">
        <f>IF(D11="","-",+C62+1)</f>
        <v>2064</v>
      </c>
      <c r="D63" s="71">
        <f>IF(F62+SUM(E$17:E62)=D$10,F62,D$10-SUM(E$17:E62))</f>
        <v>0</v>
      </c>
      <c r="E63" s="69">
        <f t="shared" si="14"/>
        <v>0</v>
      </c>
      <c r="F63" s="68">
        <f t="shared" si="9"/>
        <v>0</v>
      </c>
      <c r="G63" s="72">
        <f t="shared" si="7"/>
        <v>0</v>
      </c>
      <c r="H63" s="52">
        <f t="shared" si="8"/>
        <v>0</v>
      </c>
      <c r="I63" s="65">
        <f t="shared" si="10"/>
        <v>0</v>
      </c>
      <c r="J63" s="65"/>
      <c r="K63" s="130"/>
      <c r="L63" s="67">
        <f t="shared" si="11"/>
        <v>0</v>
      </c>
      <c r="M63" s="130"/>
      <c r="N63" s="67">
        <f t="shared" si="12"/>
        <v>0</v>
      </c>
      <c r="O63" s="67">
        <f t="shared" si="13"/>
        <v>0</v>
      </c>
      <c r="P63" s="4"/>
    </row>
    <row r="64" spans="2:16">
      <c r="B64" t="str">
        <f t="shared" si="0"/>
        <v/>
      </c>
      <c r="C64" s="62">
        <f>IF(D11="","-",+C63+1)</f>
        <v>2065</v>
      </c>
      <c r="D64" s="71">
        <f>IF(F63+SUM(E$17:E63)=D$10,F63,D$10-SUM(E$17:E63))</f>
        <v>0</v>
      </c>
      <c r="E64" s="69">
        <f t="shared" si="14"/>
        <v>0</v>
      </c>
      <c r="F64" s="68">
        <f t="shared" si="9"/>
        <v>0</v>
      </c>
      <c r="G64" s="72">
        <f t="shared" si="7"/>
        <v>0</v>
      </c>
      <c r="H64" s="52">
        <f t="shared" si="8"/>
        <v>0</v>
      </c>
      <c r="I64" s="65">
        <f t="shared" si="10"/>
        <v>0</v>
      </c>
      <c r="J64" s="65"/>
      <c r="K64" s="130"/>
      <c r="L64" s="67">
        <f t="shared" si="11"/>
        <v>0</v>
      </c>
      <c r="M64" s="130"/>
      <c r="N64" s="67">
        <f t="shared" si="12"/>
        <v>0</v>
      </c>
      <c r="O64" s="67">
        <f t="shared" si="13"/>
        <v>0</v>
      </c>
      <c r="P64" s="4"/>
    </row>
    <row r="65" spans="2:16">
      <c r="B65" t="str">
        <f t="shared" si="0"/>
        <v/>
      </c>
      <c r="C65" s="62">
        <f>IF(D11="","-",+C64+1)</f>
        <v>2066</v>
      </c>
      <c r="D65" s="71">
        <f>IF(F64+SUM(E$17:E64)=D$10,F64,D$10-SUM(E$17:E64))</f>
        <v>0</v>
      </c>
      <c r="E65" s="69">
        <f t="shared" si="14"/>
        <v>0</v>
      </c>
      <c r="F65" s="68">
        <f t="shared" si="9"/>
        <v>0</v>
      </c>
      <c r="G65" s="72">
        <f t="shared" si="7"/>
        <v>0</v>
      </c>
      <c r="H65" s="52">
        <f t="shared" si="8"/>
        <v>0</v>
      </c>
      <c r="I65" s="65">
        <f t="shared" si="10"/>
        <v>0</v>
      </c>
      <c r="J65" s="65"/>
      <c r="K65" s="130"/>
      <c r="L65" s="67">
        <f t="shared" si="11"/>
        <v>0</v>
      </c>
      <c r="M65" s="130"/>
      <c r="N65" s="67">
        <f t="shared" si="12"/>
        <v>0</v>
      </c>
      <c r="O65" s="67">
        <f t="shared" si="13"/>
        <v>0</v>
      </c>
      <c r="P65" s="4"/>
    </row>
    <row r="66" spans="2:16">
      <c r="B66" t="str">
        <f t="shared" si="0"/>
        <v/>
      </c>
      <c r="C66" s="62">
        <f>IF(D11="","-",+C65+1)</f>
        <v>2067</v>
      </c>
      <c r="D66" s="71">
        <f>IF(F65+SUM(E$17:E65)=D$10,F65,D$10-SUM(E$17:E65))</f>
        <v>0</v>
      </c>
      <c r="E66" s="69">
        <f t="shared" si="14"/>
        <v>0</v>
      </c>
      <c r="F66" s="68">
        <f t="shared" si="9"/>
        <v>0</v>
      </c>
      <c r="G66" s="72">
        <f t="shared" si="7"/>
        <v>0</v>
      </c>
      <c r="H66" s="52">
        <f t="shared" si="8"/>
        <v>0</v>
      </c>
      <c r="I66" s="65">
        <f t="shared" si="10"/>
        <v>0</v>
      </c>
      <c r="J66" s="65"/>
      <c r="K66" s="130"/>
      <c r="L66" s="67">
        <f t="shared" si="11"/>
        <v>0</v>
      </c>
      <c r="M66" s="130"/>
      <c r="N66" s="67">
        <f t="shared" si="12"/>
        <v>0</v>
      </c>
      <c r="O66" s="67">
        <f t="shared" si="13"/>
        <v>0</v>
      </c>
      <c r="P66" s="4"/>
    </row>
    <row r="67" spans="2:16">
      <c r="B67" t="str">
        <f t="shared" si="0"/>
        <v/>
      </c>
      <c r="C67" s="62">
        <f>IF(D11="","-",+C66+1)</f>
        <v>2068</v>
      </c>
      <c r="D67" s="71">
        <f>IF(F66+SUM(E$17:E66)=D$10,F66,D$10-SUM(E$17:E66))</f>
        <v>0</v>
      </c>
      <c r="E67" s="69">
        <f t="shared" si="14"/>
        <v>0</v>
      </c>
      <c r="F67" s="68">
        <f t="shared" si="9"/>
        <v>0</v>
      </c>
      <c r="G67" s="72">
        <f t="shared" si="7"/>
        <v>0</v>
      </c>
      <c r="H67" s="52">
        <f t="shared" si="8"/>
        <v>0</v>
      </c>
      <c r="I67" s="65">
        <f t="shared" si="10"/>
        <v>0</v>
      </c>
      <c r="J67" s="65"/>
      <c r="K67" s="130"/>
      <c r="L67" s="67">
        <f t="shared" si="11"/>
        <v>0</v>
      </c>
      <c r="M67" s="130"/>
      <c r="N67" s="67">
        <f t="shared" si="12"/>
        <v>0</v>
      </c>
      <c r="O67" s="67">
        <f t="shared" si="13"/>
        <v>0</v>
      </c>
      <c r="P67" s="4"/>
    </row>
    <row r="68" spans="2:16">
      <c r="B68" t="str">
        <f t="shared" si="0"/>
        <v/>
      </c>
      <c r="C68" s="62">
        <f>IF(D11="","-",+C67+1)</f>
        <v>2069</v>
      </c>
      <c r="D68" s="71">
        <f>IF(F67+SUM(E$17:E67)=D$10,F67,D$10-SUM(E$17:E67))</f>
        <v>0</v>
      </c>
      <c r="E68" s="69">
        <f t="shared" si="14"/>
        <v>0</v>
      </c>
      <c r="F68" s="68">
        <f t="shared" si="9"/>
        <v>0</v>
      </c>
      <c r="G68" s="72">
        <f t="shared" si="7"/>
        <v>0</v>
      </c>
      <c r="H68" s="52">
        <f t="shared" si="8"/>
        <v>0</v>
      </c>
      <c r="I68" s="65">
        <f t="shared" si="10"/>
        <v>0</v>
      </c>
      <c r="J68" s="65"/>
      <c r="K68" s="130"/>
      <c r="L68" s="67">
        <f t="shared" si="11"/>
        <v>0</v>
      </c>
      <c r="M68" s="130"/>
      <c r="N68" s="67">
        <f t="shared" si="12"/>
        <v>0</v>
      </c>
      <c r="O68" s="67">
        <f t="shared" si="13"/>
        <v>0</v>
      </c>
      <c r="P68" s="4"/>
    </row>
    <row r="69" spans="2:16">
      <c r="B69" t="str">
        <f t="shared" si="0"/>
        <v/>
      </c>
      <c r="C69" s="62">
        <f>IF(D11="","-",+C68+1)</f>
        <v>2070</v>
      </c>
      <c r="D69" s="71">
        <f>IF(F68+SUM(E$17:E68)=D$10,F68,D$10-SUM(E$17:E68))</f>
        <v>0</v>
      </c>
      <c r="E69" s="69">
        <f t="shared" si="14"/>
        <v>0</v>
      </c>
      <c r="F69" s="68">
        <f t="shared" si="9"/>
        <v>0</v>
      </c>
      <c r="G69" s="72">
        <f t="shared" si="7"/>
        <v>0</v>
      </c>
      <c r="H69" s="52">
        <f t="shared" si="8"/>
        <v>0</v>
      </c>
      <c r="I69" s="65">
        <f t="shared" si="10"/>
        <v>0</v>
      </c>
      <c r="J69" s="65"/>
      <c r="K69" s="130"/>
      <c r="L69" s="67">
        <f t="shared" si="11"/>
        <v>0</v>
      </c>
      <c r="M69" s="130"/>
      <c r="N69" s="67">
        <f t="shared" si="12"/>
        <v>0</v>
      </c>
      <c r="O69" s="67">
        <f t="shared" si="13"/>
        <v>0</v>
      </c>
      <c r="P69" s="4"/>
    </row>
    <row r="70" spans="2:16">
      <c r="B70" t="str">
        <f t="shared" si="0"/>
        <v/>
      </c>
      <c r="C70" s="62">
        <f>IF(D11="","-",+C69+1)</f>
        <v>2071</v>
      </c>
      <c r="D70" s="71">
        <f>IF(F69+SUM(E$17:E69)=D$10,F69,D$10-SUM(E$17:E69))</f>
        <v>0</v>
      </c>
      <c r="E70" s="69">
        <f t="shared" si="14"/>
        <v>0</v>
      </c>
      <c r="F70" s="68">
        <f t="shared" si="9"/>
        <v>0</v>
      </c>
      <c r="G70" s="72">
        <f t="shared" si="7"/>
        <v>0</v>
      </c>
      <c r="H70" s="52">
        <f t="shared" si="8"/>
        <v>0</v>
      </c>
      <c r="I70" s="65">
        <f t="shared" si="10"/>
        <v>0</v>
      </c>
      <c r="J70" s="65"/>
      <c r="K70" s="130"/>
      <c r="L70" s="67">
        <f t="shared" si="11"/>
        <v>0</v>
      </c>
      <c r="M70" s="130"/>
      <c r="N70" s="67">
        <f t="shared" si="12"/>
        <v>0</v>
      </c>
      <c r="O70" s="67">
        <f t="shared" si="13"/>
        <v>0</v>
      </c>
      <c r="P70" s="4"/>
    </row>
    <row r="71" spans="2:16">
      <c r="B71" t="str">
        <f t="shared" si="0"/>
        <v/>
      </c>
      <c r="C71" s="62">
        <f>IF(D11="","-",+C70+1)</f>
        <v>2072</v>
      </c>
      <c r="D71" s="71">
        <f>IF(F70+SUM(E$17:E70)=D$10,F70,D$10-SUM(E$17:E70))</f>
        <v>0</v>
      </c>
      <c r="E71" s="69">
        <f t="shared" si="14"/>
        <v>0</v>
      </c>
      <c r="F71" s="68">
        <f t="shared" si="9"/>
        <v>0</v>
      </c>
      <c r="G71" s="72">
        <f t="shared" si="7"/>
        <v>0</v>
      </c>
      <c r="H71" s="52">
        <f t="shared" si="8"/>
        <v>0</v>
      </c>
      <c r="I71" s="65">
        <f t="shared" si="10"/>
        <v>0</v>
      </c>
      <c r="J71" s="65"/>
      <c r="K71" s="130"/>
      <c r="L71" s="67">
        <f t="shared" si="11"/>
        <v>0</v>
      </c>
      <c r="M71" s="130"/>
      <c r="N71" s="67">
        <f t="shared" si="12"/>
        <v>0</v>
      </c>
      <c r="O71" s="67">
        <f t="shared" si="13"/>
        <v>0</v>
      </c>
      <c r="P71" s="4"/>
    </row>
    <row r="72" spans="2:16">
      <c r="C72" s="62">
        <f>IF(D12="","-",+C71+1)</f>
        <v>2073</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2074</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0</v>
      </c>
      <c r="F74" s="19"/>
      <c r="G74" s="19">
        <f>SUM(G17:G73)</f>
        <v>0</v>
      </c>
      <c r="H74" s="19">
        <f>SUM(H17:H73)</f>
        <v>0</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nk of 20</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2021</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insert project name here</v>
      </c>
      <c r="E90" s="1"/>
      <c r="F90" s="1"/>
      <c r="G90" s="1"/>
      <c r="H90" s="1"/>
      <c r="I90" s="3"/>
      <c r="J90" s="3"/>
      <c r="K90" s="126"/>
      <c r="L90" s="127" t="s">
        <v>135</v>
      </c>
      <c r="M90" s="88">
        <f>+M89-M88</f>
        <v>0</v>
      </c>
      <c r="N90" s="88">
        <f>+N89-N88</f>
        <v>0</v>
      </c>
      <c r="O90" s="89">
        <f>+O89-O88</f>
        <v>0</v>
      </c>
      <c r="P90" s="1"/>
    </row>
    <row r="91" spans="1:16" ht="13.5" thickBot="1">
      <c r="C91" s="79"/>
      <c r="D91" s="81" t="str">
        <f>IF(D8="","",D8)</f>
        <v>DOES NOT MEET SPP $100,000 MINIMUM INVESTMENT FOR REGIONAL BPU SHARING.</v>
      </c>
      <c r="E91" s="17"/>
      <c r="F91" s="17"/>
      <c r="G91" s="17"/>
      <c r="H91" s="36"/>
      <c r="I91" s="3"/>
      <c r="J91" s="3"/>
      <c r="K91" s="19"/>
      <c r="L91" s="3"/>
      <c r="M91" s="3"/>
      <c r="N91" s="3"/>
      <c r="O91" s="19"/>
      <c r="P91" s="1"/>
    </row>
    <row r="92" spans="1:16" ht="13.5" thickBot="1">
      <c r="A92" s="16"/>
      <c r="C92" s="90" t="s">
        <v>83</v>
      </c>
      <c r="D92" s="105" t="str">
        <f>+D9</f>
        <v>TP2004033</v>
      </c>
      <c r="E92" s="91"/>
      <c r="F92" s="91"/>
      <c r="G92" s="91"/>
      <c r="H92" s="91"/>
      <c r="I92" s="91"/>
      <c r="J92" s="91"/>
      <c r="K92" s="92"/>
      <c r="P92" s="41"/>
    </row>
    <row r="93" spans="1:16">
      <c r="C93" s="46" t="s">
        <v>49</v>
      </c>
      <c r="D93" s="102">
        <v>0</v>
      </c>
      <c r="E93" s="9" t="s">
        <v>84</v>
      </c>
      <c r="H93" s="44"/>
      <c r="I93" s="44"/>
      <c r="J93" s="45">
        <f>+'OKT.WS.G.BPU.ATRR.True-up'!M16</f>
        <v>2021</v>
      </c>
      <c r="K93" s="40"/>
      <c r="L93" s="19" t="s">
        <v>85</v>
      </c>
      <c r="P93" s="4"/>
    </row>
    <row r="94" spans="1:16">
      <c r="C94" s="46" t="s">
        <v>52</v>
      </c>
      <c r="D94" s="102">
        <f>IF(D11="","",D11)</f>
        <v>2018</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4</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5">IF(D100=F99,"","IU")</f>
        <v>IU</v>
      </c>
      <c r="C100" s="62">
        <f>IF(D94= "","-",D94)</f>
        <v>2018</v>
      </c>
      <c r="D100" s="63">
        <f>IF(D94=C100,0,IF(D93&lt;100000,0,D93))</f>
        <v>0</v>
      </c>
      <c r="E100" s="70">
        <f>IF(D93&lt;100000,0,J$97/12*(12-D95))</f>
        <v>0</v>
      </c>
      <c r="F100" s="68">
        <f>IF(D94=C100,+D93-E100,+D100-E100)</f>
        <v>0</v>
      </c>
      <c r="G100" s="98">
        <f>+(F100+D100)/2</f>
        <v>0</v>
      </c>
      <c r="H100" s="98">
        <f t="shared" ref="H100:H155" si="16">+J$95*G100+E100</f>
        <v>0</v>
      </c>
      <c r="I100" s="98">
        <f>+J$96*G100+E100</f>
        <v>0</v>
      </c>
      <c r="J100" s="67">
        <f t="shared" ref="J100:J131" si="17">+I100-H100</f>
        <v>0</v>
      </c>
      <c r="K100" s="67"/>
      <c r="L100" s="129"/>
      <c r="M100" s="66">
        <f t="shared" ref="M100:M131" si="18">IF(L100&lt;&gt;0,+H100-L100,0)</f>
        <v>0</v>
      </c>
      <c r="N100" s="129"/>
      <c r="O100" s="66">
        <f t="shared" ref="O100:O131" si="19">IF(N100&lt;&gt;0,+I100-N100,0)</f>
        <v>0</v>
      </c>
      <c r="P100" s="66">
        <f t="shared" ref="P100:P131" si="20">+O100-M100</f>
        <v>0</v>
      </c>
    </row>
    <row r="101" spans="1:16">
      <c r="B101" t="str">
        <f t="shared" si="15"/>
        <v/>
      </c>
      <c r="C101" s="62">
        <f>IF(D94="","-",+C100+1)</f>
        <v>2019</v>
      </c>
      <c r="D101" s="63">
        <f>IF(F100+SUM(E$100:E100)=D$93,F100,D$93-SUM(E$100:E100))</f>
        <v>0</v>
      </c>
      <c r="E101" s="69">
        <f t="shared" ref="E101:E132" si="21">IF(+J$97&lt;F100,J$97,D101)</f>
        <v>0</v>
      </c>
      <c r="F101" s="68">
        <f t="shared" ref="F101:F131" si="22">+D101-E101</f>
        <v>0</v>
      </c>
      <c r="G101" s="68">
        <f t="shared" ref="G101:G131" si="23">+(F101+D101)/2</f>
        <v>0</v>
      </c>
      <c r="H101" s="128">
        <f t="shared" si="16"/>
        <v>0</v>
      </c>
      <c r="I101" s="137">
        <f t="shared" ref="I101:I155" si="24">+J$96*G101+E101</f>
        <v>0</v>
      </c>
      <c r="J101" s="67">
        <f t="shared" si="17"/>
        <v>0</v>
      </c>
      <c r="K101" s="67"/>
      <c r="L101" s="130"/>
      <c r="M101" s="67">
        <f t="shared" si="18"/>
        <v>0</v>
      </c>
      <c r="N101" s="130"/>
      <c r="O101" s="67">
        <f t="shared" si="19"/>
        <v>0</v>
      </c>
      <c r="P101" s="67">
        <f t="shared" si="20"/>
        <v>0</v>
      </c>
    </row>
    <row r="102" spans="1:16">
      <c r="B102" t="str">
        <f t="shared" si="15"/>
        <v/>
      </c>
      <c r="C102" s="62">
        <f>IF(D94="","-",+C101+1)</f>
        <v>2020</v>
      </c>
      <c r="D102" s="63">
        <f>IF(F101+SUM(E$100:E101)=D$93,F101,D$93-SUM(E$100:E101))</f>
        <v>0</v>
      </c>
      <c r="E102" s="69">
        <f t="shared" si="21"/>
        <v>0</v>
      </c>
      <c r="F102" s="68">
        <f t="shared" si="22"/>
        <v>0</v>
      </c>
      <c r="G102" s="68">
        <f t="shared" si="23"/>
        <v>0</v>
      </c>
      <c r="H102" s="128">
        <f t="shared" si="16"/>
        <v>0</v>
      </c>
      <c r="I102" s="137">
        <f t="shared" si="24"/>
        <v>0</v>
      </c>
      <c r="J102" s="67">
        <f t="shared" si="17"/>
        <v>0</v>
      </c>
      <c r="K102" s="67"/>
      <c r="L102" s="130"/>
      <c r="M102" s="67">
        <f t="shared" si="18"/>
        <v>0</v>
      </c>
      <c r="N102" s="130"/>
      <c r="O102" s="67">
        <f t="shared" si="19"/>
        <v>0</v>
      </c>
      <c r="P102" s="67">
        <f t="shared" si="20"/>
        <v>0</v>
      </c>
    </row>
    <row r="103" spans="1:16">
      <c r="B103" t="str">
        <f t="shared" si="15"/>
        <v/>
      </c>
      <c r="C103" s="62">
        <f>IF(D94="","-",+C102+1)</f>
        <v>2021</v>
      </c>
      <c r="D103" s="63">
        <f>IF(F102+SUM(E$100:E102)=D$93,F102,D$93-SUM(E$100:E102))</f>
        <v>0</v>
      </c>
      <c r="E103" s="69">
        <f t="shared" si="21"/>
        <v>0</v>
      </c>
      <c r="F103" s="68">
        <f t="shared" si="22"/>
        <v>0</v>
      </c>
      <c r="G103" s="68">
        <f t="shared" si="23"/>
        <v>0</v>
      </c>
      <c r="H103" s="128">
        <f t="shared" si="16"/>
        <v>0</v>
      </c>
      <c r="I103" s="137">
        <f t="shared" si="24"/>
        <v>0</v>
      </c>
      <c r="J103" s="67">
        <f t="shared" si="17"/>
        <v>0</v>
      </c>
      <c r="K103" s="67"/>
      <c r="L103" s="130"/>
      <c r="M103" s="67">
        <f t="shared" si="18"/>
        <v>0</v>
      </c>
      <c r="N103" s="130"/>
      <c r="O103" s="67">
        <f t="shared" si="19"/>
        <v>0</v>
      </c>
      <c r="P103" s="67">
        <f t="shared" si="20"/>
        <v>0</v>
      </c>
    </row>
    <row r="104" spans="1:16">
      <c r="B104" t="str">
        <f t="shared" si="15"/>
        <v/>
      </c>
      <c r="C104" s="62">
        <f>IF(D94="","-",+C103+1)</f>
        <v>2022</v>
      </c>
      <c r="D104" s="63">
        <f>IF(F103+SUM(E$100:E103)=D$93,F103,D$93-SUM(E$100:E103))</f>
        <v>0</v>
      </c>
      <c r="E104" s="69">
        <f t="shared" si="21"/>
        <v>0</v>
      </c>
      <c r="F104" s="68">
        <f t="shared" si="22"/>
        <v>0</v>
      </c>
      <c r="G104" s="68">
        <f t="shared" si="23"/>
        <v>0</v>
      </c>
      <c r="H104" s="128">
        <f t="shared" si="16"/>
        <v>0</v>
      </c>
      <c r="I104" s="137">
        <f t="shared" si="24"/>
        <v>0</v>
      </c>
      <c r="J104" s="67">
        <f t="shared" si="17"/>
        <v>0</v>
      </c>
      <c r="K104" s="67"/>
      <c r="L104" s="130"/>
      <c r="M104" s="67">
        <f t="shared" si="18"/>
        <v>0</v>
      </c>
      <c r="N104" s="130"/>
      <c r="O104" s="67">
        <f t="shared" si="19"/>
        <v>0</v>
      </c>
      <c r="P104" s="67">
        <f t="shared" si="20"/>
        <v>0</v>
      </c>
    </row>
    <row r="105" spans="1:16">
      <c r="B105" t="str">
        <f t="shared" si="15"/>
        <v/>
      </c>
      <c r="C105" s="62">
        <f>IF(D94="","-",+C104+1)</f>
        <v>2023</v>
      </c>
      <c r="D105" s="63">
        <f>IF(F104+SUM(E$100:E104)=D$93,F104,D$93-SUM(E$100:E104))</f>
        <v>0</v>
      </c>
      <c r="E105" s="69">
        <f t="shared" si="21"/>
        <v>0</v>
      </c>
      <c r="F105" s="68">
        <f t="shared" si="22"/>
        <v>0</v>
      </c>
      <c r="G105" s="68">
        <f t="shared" si="23"/>
        <v>0</v>
      </c>
      <c r="H105" s="128">
        <f t="shared" si="16"/>
        <v>0</v>
      </c>
      <c r="I105" s="137">
        <f t="shared" si="24"/>
        <v>0</v>
      </c>
      <c r="J105" s="67">
        <f t="shared" si="17"/>
        <v>0</v>
      </c>
      <c r="K105" s="67"/>
      <c r="L105" s="130"/>
      <c r="M105" s="67">
        <f t="shared" si="18"/>
        <v>0</v>
      </c>
      <c r="N105" s="130"/>
      <c r="O105" s="67">
        <f t="shared" si="19"/>
        <v>0</v>
      </c>
      <c r="P105" s="67">
        <f t="shared" si="20"/>
        <v>0</v>
      </c>
    </row>
    <row r="106" spans="1:16">
      <c r="B106" t="str">
        <f t="shared" si="15"/>
        <v/>
      </c>
      <c r="C106" s="62">
        <f>IF(D94="","-",+C105+1)</f>
        <v>2024</v>
      </c>
      <c r="D106" s="63">
        <f>IF(F105+SUM(E$100:E105)=D$93,F105,D$93-SUM(E$100:E105))</f>
        <v>0</v>
      </c>
      <c r="E106" s="69">
        <f t="shared" si="21"/>
        <v>0</v>
      </c>
      <c r="F106" s="68">
        <f t="shared" si="22"/>
        <v>0</v>
      </c>
      <c r="G106" s="68">
        <f t="shared" si="23"/>
        <v>0</v>
      </c>
      <c r="H106" s="128">
        <f t="shared" si="16"/>
        <v>0</v>
      </c>
      <c r="I106" s="137">
        <f t="shared" si="24"/>
        <v>0</v>
      </c>
      <c r="J106" s="67">
        <f t="shared" si="17"/>
        <v>0</v>
      </c>
      <c r="K106" s="67"/>
      <c r="L106" s="130"/>
      <c r="M106" s="67">
        <f t="shared" si="18"/>
        <v>0</v>
      </c>
      <c r="N106" s="130"/>
      <c r="O106" s="67">
        <f t="shared" si="19"/>
        <v>0</v>
      </c>
      <c r="P106" s="67">
        <f t="shared" si="20"/>
        <v>0</v>
      </c>
    </row>
    <row r="107" spans="1:16">
      <c r="B107" t="str">
        <f t="shared" si="15"/>
        <v/>
      </c>
      <c r="C107" s="62">
        <f>IF(D94="","-",+C106+1)</f>
        <v>2025</v>
      </c>
      <c r="D107" s="63">
        <f>IF(F106+SUM(E$100:E106)=D$93,F106,D$93-SUM(E$100:E106))</f>
        <v>0</v>
      </c>
      <c r="E107" s="69">
        <f t="shared" si="21"/>
        <v>0</v>
      </c>
      <c r="F107" s="68">
        <f t="shared" si="22"/>
        <v>0</v>
      </c>
      <c r="G107" s="68">
        <f t="shared" si="23"/>
        <v>0</v>
      </c>
      <c r="H107" s="128">
        <f t="shared" si="16"/>
        <v>0</v>
      </c>
      <c r="I107" s="137">
        <f t="shared" si="24"/>
        <v>0</v>
      </c>
      <c r="J107" s="67">
        <f t="shared" si="17"/>
        <v>0</v>
      </c>
      <c r="K107" s="67"/>
      <c r="L107" s="130"/>
      <c r="M107" s="67">
        <f t="shared" si="18"/>
        <v>0</v>
      </c>
      <c r="N107" s="130"/>
      <c r="O107" s="67">
        <f t="shared" si="19"/>
        <v>0</v>
      </c>
      <c r="P107" s="67">
        <f t="shared" si="20"/>
        <v>0</v>
      </c>
    </row>
    <row r="108" spans="1:16">
      <c r="B108" t="str">
        <f t="shared" si="15"/>
        <v/>
      </c>
      <c r="C108" s="62">
        <f>IF(D94="","-",+C107+1)</f>
        <v>2026</v>
      </c>
      <c r="D108" s="63">
        <f>IF(F107+SUM(E$100:E107)=D$93,F107,D$93-SUM(E$100:E107))</f>
        <v>0</v>
      </c>
      <c r="E108" s="69">
        <f t="shared" si="21"/>
        <v>0</v>
      </c>
      <c r="F108" s="68">
        <f t="shared" si="22"/>
        <v>0</v>
      </c>
      <c r="G108" s="68">
        <f t="shared" si="23"/>
        <v>0</v>
      </c>
      <c r="H108" s="128">
        <f t="shared" si="16"/>
        <v>0</v>
      </c>
      <c r="I108" s="137">
        <f t="shared" si="24"/>
        <v>0</v>
      </c>
      <c r="J108" s="67">
        <f t="shared" si="17"/>
        <v>0</v>
      </c>
      <c r="K108" s="67"/>
      <c r="L108" s="130"/>
      <c r="M108" s="67">
        <f t="shared" si="18"/>
        <v>0</v>
      </c>
      <c r="N108" s="130"/>
      <c r="O108" s="67">
        <f t="shared" si="19"/>
        <v>0</v>
      </c>
      <c r="P108" s="67">
        <f t="shared" si="20"/>
        <v>0</v>
      </c>
    </row>
    <row r="109" spans="1:16">
      <c r="B109" t="str">
        <f t="shared" si="15"/>
        <v/>
      </c>
      <c r="C109" s="62">
        <f>IF(D94="","-",+C108+1)</f>
        <v>2027</v>
      </c>
      <c r="D109" s="63">
        <f>IF(F108+SUM(E$100:E108)=D$93,F108,D$93-SUM(E$100:E108))</f>
        <v>0</v>
      </c>
      <c r="E109" s="69">
        <f t="shared" si="21"/>
        <v>0</v>
      </c>
      <c r="F109" s="68">
        <f t="shared" si="22"/>
        <v>0</v>
      </c>
      <c r="G109" s="68">
        <f t="shared" si="23"/>
        <v>0</v>
      </c>
      <c r="H109" s="128">
        <f t="shared" si="16"/>
        <v>0</v>
      </c>
      <c r="I109" s="137">
        <f t="shared" si="24"/>
        <v>0</v>
      </c>
      <c r="J109" s="67">
        <f t="shared" si="17"/>
        <v>0</v>
      </c>
      <c r="K109" s="67"/>
      <c r="L109" s="130"/>
      <c r="M109" s="67">
        <f t="shared" si="18"/>
        <v>0</v>
      </c>
      <c r="N109" s="130"/>
      <c r="O109" s="67">
        <f t="shared" si="19"/>
        <v>0</v>
      </c>
      <c r="P109" s="67">
        <f t="shared" si="20"/>
        <v>0</v>
      </c>
    </row>
    <row r="110" spans="1:16">
      <c r="B110" t="str">
        <f t="shared" si="15"/>
        <v/>
      </c>
      <c r="C110" s="62">
        <f>IF(D94="","-",+C109+1)</f>
        <v>2028</v>
      </c>
      <c r="D110" s="63">
        <f>IF(F109+SUM(E$100:E109)=D$93,F109,D$93-SUM(E$100:E109))</f>
        <v>0</v>
      </c>
      <c r="E110" s="69">
        <f t="shared" si="21"/>
        <v>0</v>
      </c>
      <c r="F110" s="68">
        <f t="shared" si="22"/>
        <v>0</v>
      </c>
      <c r="G110" s="68">
        <f t="shared" si="23"/>
        <v>0</v>
      </c>
      <c r="H110" s="128">
        <f t="shared" si="16"/>
        <v>0</v>
      </c>
      <c r="I110" s="137">
        <f t="shared" si="24"/>
        <v>0</v>
      </c>
      <c r="J110" s="67">
        <f t="shared" si="17"/>
        <v>0</v>
      </c>
      <c r="K110" s="67"/>
      <c r="L110" s="130"/>
      <c r="M110" s="67">
        <f t="shared" si="18"/>
        <v>0</v>
      </c>
      <c r="N110" s="130"/>
      <c r="O110" s="67">
        <f t="shared" si="19"/>
        <v>0</v>
      </c>
      <c r="P110" s="67">
        <f t="shared" si="20"/>
        <v>0</v>
      </c>
    </row>
    <row r="111" spans="1:16">
      <c r="B111" t="str">
        <f t="shared" si="15"/>
        <v/>
      </c>
      <c r="C111" s="62">
        <f>IF(D94="","-",+C110+1)</f>
        <v>2029</v>
      </c>
      <c r="D111" s="63">
        <f>IF(F110+SUM(E$100:E110)=D$93,F110,D$93-SUM(E$100:E110))</f>
        <v>0</v>
      </c>
      <c r="E111" s="69">
        <f t="shared" si="21"/>
        <v>0</v>
      </c>
      <c r="F111" s="68">
        <f t="shared" si="22"/>
        <v>0</v>
      </c>
      <c r="G111" s="68">
        <f t="shared" si="23"/>
        <v>0</v>
      </c>
      <c r="H111" s="128">
        <f t="shared" si="16"/>
        <v>0</v>
      </c>
      <c r="I111" s="137">
        <f t="shared" si="24"/>
        <v>0</v>
      </c>
      <c r="J111" s="67">
        <f t="shared" si="17"/>
        <v>0</v>
      </c>
      <c r="K111" s="67"/>
      <c r="L111" s="130"/>
      <c r="M111" s="67">
        <f t="shared" si="18"/>
        <v>0</v>
      </c>
      <c r="N111" s="130"/>
      <c r="O111" s="67">
        <f t="shared" si="19"/>
        <v>0</v>
      </c>
      <c r="P111" s="67">
        <f t="shared" si="20"/>
        <v>0</v>
      </c>
    </row>
    <row r="112" spans="1:16">
      <c r="B112" t="str">
        <f t="shared" si="15"/>
        <v/>
      </c>
      <c r="C112" s="62">
        <f>IF(D94="","-",+C111+1)</f>
        <v>2030</v>
      </c>
      <c r="D112" s="63">
        <f>IF(F111+SUM(E$100:E111)=D$93,F111,D$93-SUM(E$100:E111))</f>
        <v>0</v>
      </c>
      <c r="E112" s="69">
        <f t="shared" si="21"/>
        <v>0</v>
      </c>
      <c r="F112" s="68">
        <f t="shared" si="22"/>
        <v>0</v>
      </c>
      <c r="G112" s="68">
        <f t="shared" si="23"/>
        <v>0</v>
      </c>
      <c r="H112" s="128">
        <f t="shared" si="16"/>
        <v>0</v>
      </c>
      <c r="I112" s="137">
        <f t="shared" si="24"/>
        <v>0</v>
      </c>
      <c r="J112" s="67">
        <f t="shared" si="17"/>
        <v>0</v>
      </c>
      <c r="K112" s="67"/>
      <c r="L112" s="130"/>
      <c r="M112" s="67">
        <f t="shared" si="18"/>
        <v>0</v>
      </c>
      <c r="N112" s="130"/>
      <c r="O112" s="67">
        <f t="shared" si="19"/>
        <v>0</v>
      </c>
      <c r="P112" s="67">
        <f t="shared" si="20"/>
        <v>0</v>
      </c>
    </row>
    <row r="113" spans="2:16">
      <c r="B113" t="str">
        <f t="shared" si="15"/>
        <v/>
      </c>
      <c r="C113" s="62">
        <f>IF(D94="","-",+C112+1)</f>
        <v>2031</v>
      </c>
      <c r="D113" s="63">
        <f>IF(F112+SUM(E$100:E112)=D$93,F112,D$93-SUM(E$100:E112))</f>
        <v>0</v>
      </c>
      <c r="E113" s="69">
        <f t="shared" si="21"/>
        <v>0</v>
      </c>
      <c r="F113" s="68">
        <f t="shared" si="22"/>
        <v>0</v>
      </c>
      <c r="G113" s="68">
        <f t="shared" si="23"/>
        <v>0</v>
      </c>
      <c r="H113" s="128">
        <f t="shared" si="16"/>
        <v>0</v>
      </c>
      <c r="I113" s="137">
        <f t="shared" si="24"/>
        <v>0</v>
      </c>
      <c r="J113" s="67">
        <f t="shared" si="17"/>
        <v>0</v>
      </c>
      <c r="K113" s="67"/>
      <c r="L113" s="130"/>
      <c r="M113" s="67">
        <f t="shared" si="18"/>
        <v>0</v>
      </c>
      <c r="N113" s="130"/>
      <c r="O113" s="67">
        <f t="shared" si="19"/>
        <v>0</v>
      </c>
      <c r="P113" s="67">
        <f t="shared" si="20"/>
        <v>0</v>
      </c>
    </row>
    <row r="114" spans="2:16">
      <c r="B114" t="str">
        <f t="shared" si="15"/>
        <v/>
      </c>
      <c r="C114" s="62">
        <f>IF(D94="","-",+C113+1)</f>
        <v>2032</v>
      </c>
      <c r="D114" s="63">
        <f>IF(F113+SUM(E$100:E113)=D$93,F113,D$93-SUM(E$100:E113))</f>
        <v>0</v>
      </c>
      <c r="E114" s="69">
        <f t="shared" si="21"/>
        <v>0</v>
      </c>
      <c r="F114" s="68">
        <f t="shared" si="22"/>
        <v>0</v>
      </c>
      <c r="G114" s="68">
        <f t="shared" si="23"/>
        <v>0</v>
      </c>
      <c r="H114" s="128">
        <f t="shared" si="16"/>
        <v>0</v>
      </c>
      <c r="I114" s="137">
        <f t="shared" si="24"/>
        <v>0</v>
      </c>
      <c r="J114" s="67">
        <f t="shared" si="17"/>
        <v>0</v>
      </c>
      <c r="K114" s="67"/>
      <c r="L114" s="130"/>
      <c r="M114" s="67">
        <f t="shared" si="18"/>
        <v>0</v>
      </c>
      <c r="N114" s="130"/>
      <c r="O114" s="67">
        <f t="shared" si="19"/>
        <v>0</v>
      </c>
      <c r="P114" s="67">
        <f t="shared" si="20"/>
        <v>0</v>
      </c>
    </row>
    <row r="115" spans="2:16">
      <c r="B115" t="str">
        <f t="shared" si="15"/>
        <v/>
      </c>
      <c r="C115" s="62">
        <f>IF(D94="","-",+C114+1)</f>
        <v>2033</v>
      </c>
      <c r="D115" s="63">
        <f>IF(F114+SUM(E$100:E114)=D$93,F114,D$93-SUM(E$100:E114))</f>
        <v>0</v>
      </c>
      <c r="E115" s="69">
        <f t="shared" si="21"/>
        <v>0</v>
      </c>
      <c r="F115" s="68">
        <f t="shared" si="22"/>
        <v>0</v>
      </c>
      <c r="G115" s="68">
        <f t="shared" si="23"/>
        <v>0</v>
      </c>
      <c r="H115" s="128">
        <f t="shared" si="16"/>
        <v>0</v>
      </c>
      <c r="I115" s="137">
        <f t="shared" si="24"/>
        <v>0</v>
      </c>
      <c r="J115" s="67">
        <f t="shared" si="17"/>
        <v>0</v>
      </c>
      <c r="K115" s="67"/>
      <c r="L115" s="130"/>
      <c r="M115" s="67">
        <f t="shared" si="18"/>
        <v>0</v>
      </c>
      <c r="N115" s="130"/>
      <c r="O115" s="67">
        <f t="shared" si="19"/>
        <v>0</v>
      </c>
      <c r="P115" s="67">
        <f t="shared" si="20"/>
        <v>0</v>
      </c>
    </row>
    <row r="116" spans="2:16">
      <c r="B116" t="str">
        <f t="shared" si="15"/>
        <v/>
      </c>
      <c r="C116" s="62">
        <f>IF(D94="","-",+C115+1)</f>
        <v>2034</v>
      </c>
      <c r="D116" s="63">
        <f>IF(F115+SUM(E$100:E115)=D$93,F115,D$93-SUM(E$100:E115))</f>
        <v>0</v>
      </c>
      <c r="E116" s="69">
        <f t="shared" si="21"/>
        <v>0</v>
      </c>
      <c r="F116" s="68">
        <f t="shared" si="22"/>
        <v>0</v>
      </c>
      <c r="G116" s="68">
        <f t="shared" si="23"/>
        <v>0</v>
      </c>
      <c r="H116" s="128">
        <f t="shared" si="16"/>
        <v>0</v>
      </c>
      <c r="I116" s="137">
        <f t="shared" si="24"/>
        <v>0</v>
      </c>
      <c r="J116" s="67">
        <f t="shared" si="17"/>
        <v>0</v>
      </c>
      <c r="K116" s="67"/>
      <c r="L116" s="130"/>
      <c r="M116" s="67">
        <f t="shared" si="18"/>
        <v>0</v>
      </c>
      <c r="N116" s="130"/>
      <c r="O116" s="67">
        <f t="shared" si="19"/>
        <v>0</v>
      </c>
      <c r="P116" s="67">
        <f t="shared" si="20"/>
        <v>0</v>
      </c>
    </row>
    <row r="117" spans="2:16">
      <c r="B117" t="str">
        <f t="shared" si="15"/>
        <v/>
      </c>
      <c r="C117" s="62">
        <f>IF(D94="","-",+C116+1)</f>
        <v>2035</v>
      </c>
      <c r="D117" s="63">
        <f>IF(F116+SUM(E$100:E116)=D$93,F116,D$93-SUM(E$100:E116))</f>
        <v>0</v>
      </c>
      <c r="E117" s="69">
        <f t="shared" si="21"/>
        <v>0</v>
      </c>
      <c r="F117" s="68">
        <f t="shared" si="22"/>
        <v>0</v>
      </c>
      <c r="G117" s="68">
        <f t="shared" si="23"/>
        <v>0</v>
      </c>
      <c r="H117" s="128">
        <f t="shared" si="16"/>
        <v>0</v>
      </c>
      <c r="I117" s="137">
        <f t="shared" si="24"/>
        <v>0</v>
      </c>
      <c r="J117" s="67">
        <f t="shared" si="17"/>
        <v>0</v>
      </c>
      <c r="K117" s="67"/>
      <c r="L117" s="130"/>
      <c r="M117" s="67">
        <f t="shared" si="18"/>
        <v>0</v>
      </c>
      <c r="N117" s="130"/>
      <c r="O117" s="67">
        <f t="shared" si="19"/>
        <v>0</v>
      </c>
      <c r="P117" s="67">
        <f t="shared" si="20"/>
        <v>0</v>
      </c>
    </row>
    <row r="118" spans="2:16">
      <c r="B118" t="str">
        <f t="shared" si="15"/>
        <v/>
      </c>
      <c r="C118" s="62">
        <f>IF(D94="","-",+C117+1)</f>
        <v>2036</v>
      </c>
      <c r="D118" s="63">
        <f>IF(F117+SUM(E$100:E117)=D$93,F117,D$93-SUM(E$100:E117))</f>
        <v>0</v>
      </c>
      <c r="E118" s="69">
        <f t="shared" si="21"/>
        <v>0</v>
      </c>
      <c r="F118" s="68">
        <f t="shared" si="22"/>
        <v>0</v>
      </c>
      <c r="G118" s="68">
        <f t="shared" si="23"/>
        <v>0</v>
      </c>
      <c r="H118" s="128">
        <f t="shared" si="16"/>
        <v>0</v>
      </c>
      <c r="I118" s="137">
        <f t="shared" si="24"/>
        <v>0</v>
      </c>
      <c r="J118" s="67">
        <f t="shared" si="17"/>
        <v>0</v>
      </c>
      <c r="K118" s="67"/>
      <c r="L118" s="130"/>
      <c r="M118" s="67">
        <f t="shared" si="18"/>
        <v>0</v>
      </c>
      <c r="N118" s="130"/>
      <c r="O118" s="67">
        <f t="shared" si="19"/>
        <v>0</v>
      </c>
      <c r="P118" s="67">
        <f t="shared" si="20"/>
        <v>0</v>
      </c>
    </row>
    <row r="119" spans="2:16">
      <c r="B119" t="str">
        <f t="shared" si="15"/>
        <v/>
      </c>
      <c r="C119" s="62">
        <f>IF(D94="","-",+C118+1)</f>
        <v>2037</v>
      </c>
      <c r="D119" s="63">
        <f>IF(F118+SUM(E$100:E118)=D$93,F118,D$93-SUM(E$100:E118))</f>
        <v>0</v>
      </c>
      <c r="E119" s="69">
        <f t="shared" si="21"/>
        <v>0</v>
      </c>
      <c r="F119" s="68">
        <f t="shared" si="22"/>
        <v>0</v>
      </c>
      <c r="G119" s="68">
        <f t="shared" si="23"/>
        <v>0</v>
      </c>
      <c r="H119" s="128">
        <f t="shared" si="16"/>
        <v>0</v>
      </c>
      <c r="I119" s="137">
        <f t="shared" si="24"/>
        <v>0</v>
      </c>
      <c r="J119" s="67">
        <f t="shared" si="17"/>
        <v>0</v>
      </c>
      <c r="K119" s="67"/>
      <c r="L119" s="130"/>
      <c r="M119" s="67">
        <f t="shared" si="18"/>
        <v>0</v>
      </c>
      <c r="N119" s="130"/>
      <c r="O119" s="67">
        <f t="shared" si="19"/>
        <v>0</v>
      </c>
      <c r="P119" s="67">
        <f t="shared" si="20"/>
        <v>0</v>
      </c>
    </row>
    <row r="120" spans="2:16">
      <c r="B120" t="str">
        <f t="shared" si="15"/>
        <v/>
      </c>
      <c r="C120" s="62">
        <f>IF(D94="","-",+C119+1)</f>
        <v>2038</v>
      </c>
      <c r="D120" s="63">
        <f>IF(F119+SUM(E$100:E119)=D$93,F119,D$93-SUM(E$100:E119))</f>
        <v>0</v>
      </c>
      <c r="E120" s="69">
        <f t="shared" si="21"/>
        <v>0</v>
      </c>
      <c r="F120" s="68">
        <f t="shared" si="22"/>
        <v>0</v>
      </c>
      <c r="G120" s="68">
        <f t="shared" si="23"/>
        <v>0</v>
      </c>
      <c r="H120" s="128">
        <f t="shared" si="16"/>
        <v>0</v>
      </c>
      <c r="I120" s="137">
        <f t="shared" si="24"/>
        <v>0</v>
      </c>
      <c r="J120" s="67">
        <f t="shared" si="17"/>
        <v>0</v>
      </c>
      <c r="K120" s="67"/>
      <c r="L120" s="130"/>
      <c r="M120" s="67">
        <f t="shared" si="18"/>
        <v>0</v>
      </c>
      <c r="N120" s="130"/>
      <c r="O120" s="67">
        <f t="shared" si="19"/>
        <v>0</v>
      </c>
      <c r="P120" s="67">
        <f t="shared" si="20"/>
        <v>0</v>
      </c>
    </row>
    <row r="121" spans="2:16">
      <c r="B121" t="str">
        <f t="shared" si="15"/>
        <v/>
      </c>
      <c r="C121" s="62">
        <f>IF(D94="","-",+C120+1)</f>
        <v>2039</v>
      </c>
      <c r="D121" s="63">
        <f>IF(F120+SUM(E$100:E120)=D$93,F120,D$93-SUM(E$100:E120))</f>
        <v>0</v>
      </c>
      <c r="E121" s="69">
        <f t="shared" si="21"/>
        <v>0</v>
      </c>
      <c r="F121" s="68">
        <f t="shared" si="22"/>
        <v>0</v>
      </c>
      <c r="G121" s="68">
        <f t="shared" si="23"/>
        <v>0</v>
      </c>
      <c r="H121" s="128">
        <f t="shared" si="16"/>
        <v>0</v>
      </c>
      <c r="I121" s="137">
        <f t="shared" si="24"/>
        <v>0</v>
      </c>
      <c r="J121" s="67">
        <f t="shared" si="17"/>
        <v>0</v>
      </c>
      <c r="K121" s="67"/>
      <c r="L121" s="130"/>
      <c r="M121" s="67">
        <f t="shared" si="18"/>
        <v>0</v>
      </c>
      <c r="N121" s="130"/>
      <c r="O121" s="67">
        <f t="shared" si="19"/>
        <v>0</v>
      </c>
      <c r="P121" s="67">
        <f t="shared" si="20"/>
        <v>0</v>
      </c>
    </row>
    <row r="122" spans="2:16">
      <c r="B122" t="str">
        <f t="shared" si="15"/>
        <v/>
      </c>
      <c r="C122" s="62">
        <f>IF(D94="","-",+C121+1)</f>
        <v>2040</v>
      </c>
      <c r="D122" s="63">
        <f>IF(F121+SUM(E$100:E121)=D$93,F121,D$93-SUM(E$100:E121))</f>
        <v>0</v>
      </c>
      <c r="E122" s="69">
        <f t="shared" si="21"/>
        <v>0</v>
      </c>
      <c r="F122" s="68">
        <f t="shared" si="22"/>
        <v>0</v>
      </c>
      <c r="G122" s="68">
        <f t="shared" si="23"/>
        <v>0</v>
      </c>
      <c r="H122" s="128">
        <f t="shared" si="16"/>
        <v>0</v>
      </c>
      <c r="I122" s="137">
        <f t="shared" si="24"/>
        <v>0</v>
      </c>
      <c r="J122" s="67">
        <f t="shared" si="17"/>
        <v>0</v>
      </c>
      <c r="K122" s="67"/>
      <c r="L122" s="130"/>
      <c r="M122" s="67">
        <f t="shared" si="18"/>
        <v>0</v>
      </c>
      <c r="N122" s="130"/>
      <c r="O122" s="67">
        <f t="shared" si="19"/>
        <v>0</v>
      </c>
      <c r="P122" s="67">
        <f t="shared" si="20"/>
        <v>0</v>
      </c>
    </row>
    <row r="123" spans="2:16">
      <c r="B123" t="str">
        <f t="shared" si="15"/>
        <v/>
      </c>
      <c r="C123" s="62">
        <f>IF(D94="","-",+C122+1)</f>
        <v>2041</v>
      </c>
      <c r="D123" s="63">
        <f>IF(F122+SUM(E$100:E122)=D$93,F122,D$93-SUM(E$100:E122))</f>
        <v>0</v>
      </c>
      <c r="E123" s="69">
        <f t="shared" si="21"/>
        <v>0</v>
      </c>
      <c r="F123" s="68">
        <f t="shared" si="22"/>
        <v>0</v>
      </c>
      <c r="G123" s="68">
        <f t="shared" si="23"/>
        <v>0</v>
      </c>
      <c r="H123" s="128">
        <f t="shared" si="16"/>
        <v>0</v>
      </c>
      <c r="I123" s="137">
        <f t="shared" si="24"/>
        <v>0</v>
      </c>
      <c r="J123" s="67">
        <f t="shared" si="17"/>
        <v>0</v>
      </c>
      <c r="K123" s="67"/>
      <c r="L123" s="130"/>
      <c r="M123" s="67">
        <f t="shared" si="18"/>
        <v>0</v>
      </c>
      <c r="N123" s="130"/>
      <c r="O123" s="67">
        <f t="shared" si="19"/>
        <v>0</v>
      </c>
      <c r="P123" s="67">
        <f t="shared" si="20"/>
        <v>0</v>
      </c>
    </row>
    <row r="124" spans="2:16">
      <c r="B124" t="str">
        <f t="shared" si="15"/>
        <v/>
      </c>
      <c r="C124" s="62">
        <f>IF(D94="","-",+C123+1)</f>
        <v>2042</v>
      </c>
      <c r="D124" s="63">
        <f>IF(F123+SUM(E$100:E123)=D$93,F123,D$93-SUM(E$100:E123))</f>
        <v>0</v>
      </c>
      <c r="E124" s="69">
        <f t="shared" si="21"/>
        <v>0</v>
      </c>
      <c r="F124" s="68">
        <f t="shared" si="22"/>
        <v>0</v>
      </c>
      <c r="G124" s="68">
        <f t="shared" si="23"/>
        <v>0</v>
      </c>
      <c r="H124" s="128">
        <f t="shared" si="16"/>
        <v>0</v>
      </c>
      <c r="I124" s="137">
        <f t="shared" si="24"/>
        <v>0</v>
      </c>
      <c r="J124" s="67">
        <f t="shared" si="17"/>
        <v>0</v>
      </c>
      <c r="K124" s="67"/>
      <c r="L124" s="130"/>
      <c r="M124" s="67">
        <f t="shared" si="18"/>
        <v>0</v>
      </c>
      <c r="N124" s="130"/>
      <c r="O124" s="67">
        <f t="shared" si="19"/>
        <v>0</v>
      </c>
      <c r="P124" s="67">
        <f t="shared" si="20"/>
        <v>0</v>
      </c>
    </row>
    <row r="125" spans="2:16">
      <c r="B125" t="str">
        <f t="shared" si="15"/>
        <v/>
      </c>
      <c r="C125" s="62">
        <f>IF(D94="","-",+C124+1)</f>
        <v>2043</v>
      </c>
      <c r="D125" s="63">
        <f>IF(F124+SUM(E$100:E124)=D$93,F124,D$93-SUM(E$100:E124))</f>
        <v>0</v>
      </c>
      <c r="E125" s="69">
        <f t="shared" si="21"/>
        <v>0</v>
      </c>
      <c r="F125" s="68">
        <f t="shared" si="22"/>
        <v>0</v>
      </c>
      <c r="G125" s="68">
        <f t="shared" si="23"/>
        <v>0</v>
      </c>
      <c r="H125" s="128">
        <f t="shared" si="16"/>
        <v>0</v>
      </c>
      <c r="I125" s="137">
        <f t="shared" si="24"/>
        <v>0</v>
      </c>
      <c r="J125" s="67">
        <f t="shared" si="17"/>
        <v>0</v>
      </c>
      <c r="K125" s="67"/>
      <c r="L125" s="130"/>
      <c r="M125" s="67">
        <f t="shared" si="18"/>
        <v>0</v>
      </c>
      <c r="N125" s="130"/>
      <c r="O125" s="67">
        <f t="shared" si="19"/>
        <v>0</v>
      </c>
      <c r="P125" s="67">
        <f t="shared" si="20"/>
        <v>0</v>
      </c>
    </row>
    <row r="126" spans="2:16">
      <c r="B126" t="str">
        <f t="shared" si="15"/>
        <v/>
      </c>
      <c r="C126" s="62">
        <f>IF(D94="","-",+C125+1)</f>
        <v>2044</v>
      </c>
      <c r="D126" s="63">
        <f>IF(F125+SUM(E$100:E125)=D$93,F125,D$93-SUM(E$100:E125))</f>
        <v>0</v>
      </c>
      <c r="E126" s="69">
        <f t="shared" si="21"/>
        <v>0</v>
      </c>
      <c r="F126" s="68">
        <f t="shared" si="22"/>
        <v>0</v>
      </c>
      <c r="G126" s="68">
        <f t="shared" si="23"/>
        <v>0</v>
      </c>
      <c r="H126" s="128">
        <f t="shared" si="16"/>
        <v>0</v>
      </c>
      <c r="I126" s="137">
        <f t="shared" si="24"/>
        <v>0</v>
      </c>
      <c r="J126" s="67">
        <f t="shared" si="17"/>
        <v>0</v>
      </c>
      <c r="K126" s="67"/>
      <c r="L126" s="130"/>
      <c r="M126" s="67">
        <f t="shared" si="18"/>
        <v>0</v>
      </c>
      <c r="N126" s="130"/>
      <c r="O126" s="67">
        <f t="shared" si="19"/>
        <v>0</v>
      </c>
      <c r="P126" s="67">
        <f t="shared" si="20"/>
        <v>0</v>
      </c>
    </row>
    <row r="127" spans="2:16">
      <c r="B127" t="str">
        <f t="shared" si="15"/>
        <v/>
      </c>
      <c r="C127" s="62">
        <f>IF(D94="","-",+C126+1)</f>
        <v>2045</v>
      </c>
      <c r="D127" s="63">
        <f>IF(F126+SUM(E$100:E126)=D$93,F126,D$93-SUM(E$100:E126))</f>
        <v>0</v>
      </c>
      <c r="E127" s="69">
        <f t="shared" si="21"/>
        <v>0</v>
      </c>
      <c r="F127" s="68">
        <f t="shared" si="22"/>
        <v>0</v>
      </c>
      <c r="G127" s="68">
        <f t="shared" si="23"/>
        <v>0</v>
      </c>
      <c r="H127" s="128">
        <f t="shared" si="16"/>
        <v>0</v>
      </c>
      <c r="I127" s="137">
        <f t="shared" si="24"/>
        <v>0</v>
      </c>
      <c r="J127" s="67">
        <f t="shared" si="17"/>
        <v>0</v>
      </c>
      <c r="K127" s="67"/>
      <c r="L127" s="130"/>
      <c r="M127" s="67">
        <f t="shared" si="18"/>
        <v>0</v>
      </c>
      <c r="N127" s="130"/>
      <c r="O127" s="67">
        <f t="shared" si="19"/>
        <v>0</v>
      </c>
      <c r="P127" s="67">
        <f t="shared" si="20"/>
        <v>0</v>
      </c>
    </row>
    <row r="128" spans="2:16">
      <c r="B128" t="str">
        <f t="shared" si="15"/>
        <v/>
      </c>
      <c r="C128" s="62">
        <f>IF(D94="","-",+C127+1)</f>
        <v>2046</v>
      </c>
      <c r="D128" s="63">
        <f>IF(F127+SUM(E$100:E127)=D$93,F127,D$93-SUM(E$100:E127))</f>
        <v>0</v>
      </c>
      <c r="E128" s="69">
        <f t="shared" si="21"/>
        <v>0</v>
      </c>
      <c r="F128" s="68">
        <f t="shared" si="22"/>
        <v>0</v>
      </c>
      <c r="G128" s="68">
        <f t="shared" si="23"/>
        <v>0</v>
      </c>
      <c r="H128" s="128">
        <f t="shared" si="16"/>
        <v>0</v>
      </c>
      <c r="I128" s="137">
        <f t="shared" si="24"/>
        <v>0</v>
      </c>
      <c r="J128" s="67">
        <f t="shared" si="17"/>
        <v>0</v>
      </c>
      <c r="K128" s="67"/>
      <c r="L128" s="130"/>
      <c r="M128" s="67">
        <f t="shared" si="18"/>
        <v>0</v>
      </c>
      <c r="N128" s="130"/>
      <c r="O128" s="67">
        <f t="shared" si="19"/>
        <v>0</v>
      </c>
      <c r="P128" s="67">
        <f t="shared" si="20"/>
        <v>0</v>
      </c>
    </row>
    <row r="129" spans="2:16">
      <c r="B129" t="str">
        <f t="shared" si="15"/>
        <v/>
      </c>
      <c r="C129" s="62">
        <f>IF(D94="","-",+C128+1)</f>
        <v>2047</v>
      </c>
      <c r="D129" s="63">
        <f>IF(F128+SUM(E$100:E128)=D$93,F128,D$93-SUM(E$100:E128))</f>
        <v>0</v>
      </c>
      <c r="E129" s="69">
        <f t="shared" si="21"/>
        <v>0</v>
      </c>
      <c r="F129" s="68">
        <f t="shared" si="22"/>
        <v>0</v>
      </c>
      <c r="G129" s="68">
        <f t="shared" si="23"/>
        <v>0</v>
      </c>
      <c r="H129" s="128">
        <f t="shared" si="16"/>
        <v>0</v>
      </c>
      <c r="I129" s="137">
        <f t="shared" si="24"/>
        <v>0</v>
      </c>
      <c r="J129" s="67">
        <f t="shared" si="17"/>
        <v>0</v>
      </c>
      <c r="K129" s="67"/>
      <c r="L129" s="130"/>
      <c r="M129" s="67">
        <f t="shared" si="18"/>
        <v>0</v>
      </c>
      <c r="N129" s="130"/>
      <c r="O129" s="67">
        <f t="shared" si="19"/>
        <v>0</v>
      </c>
      <c r="P129" s="67">
        <f t="shared" si="20"/>
        <v>0</v>
      </c>
    </row>
    <row r="130" spans="2:16">
      <c r="B130" t="str">
        <f t="shared" si="15"/>
        <v/>
      </c>
      <c r="C130" s="62">
        <f>IF(D94="","-",+C129+1)</f>
        <v>2048</v>
      </c>
      <c r="D130" s="63">
        <f>IF(F129+SUM(E$100:E129)=D$93,F129,D$93-SUM(E$100:E129))</f>
        <v>0</v>
      </c>
      <c r="E130" s="69">
        <f t="shared" si="21"/>
        <v>0</v>
      </c>
      <c r="F130" s="68">
        <f t="shared" si="22"/>
        <v>0</v>
      </c>
      <c r="G130" s="68">
        <f t="shared" si="23"/>
        <v>0</v>
      </c>
      <c r="H130" s="128">
        <f t="shared" si="16"/>
        <v>0</v>
      </c>
      <c r="I130" s="137">
        <f t="shared" si="24"/>
        <v>0</v>
      </c>
      <c r="J130" s="67">
        <f t="shared" si="17"/>
        <v>0</v>
      </c>
      <c r="K130" s="67"/>
      <c r="L130" s="130"/>
      <c r="M130" s="67">
        <f t="shared" si="18"/>
        <v>0</v>
      </c>
      <c r="N130" s="130"/>
      <c r="O130" s="67">
        <f t="shared" si="19"/>
        <v>0</v>
      </c>
      <c r="P130" s="67">
        <f t="shared" si="20"/>
        <v>0</v>
      </c>
    </row>
    <row r="131" spans="2:16">
      <c r="B131" t="str">
        <f t="shared" si="15"/>
        <v/>
      </c>
      <c r="C131" s="62">
        <f>IF(D94="","-",+C130+1)</f>
        <v>2049</v>
      </c>
      <c r="D131" s="63">
        <f>IF(F130+SUM(E$100:E130)=D$93,F130,D$93-SUM(E$100:E130))</f>
        <v>0</v>
      </c>
      <c r="E131" s="69">
        <f t="shared" si="21"/>
        <v>0</v>
      </c>
      <c r="F131" s="68">
        <f t="shared" si="22"/>
        <v>0</v>
      </c>
      <c r="G131" s="68">
        <f t="shared" si="23"/>
        <v>0</v>
      </c>
      <c r="H131" s="128">
        <f t="shared" si="16"/>
        <v>0</v>
      </c>
      <c r="I131" s="137">
        <f t="shared" si="24"/>
        <v>0</v>
      </c>
      <c r="J131" s="67">
        <f t="shared" si="17"/>
        <v>0</v>
      </c>
      <c r="K131" s="67"/>
      <c r="L131" s="130"/>
      <c r="M131" s="67">
        <f t="shared" si="18"/>
        <v>0</v>
      </c>
      <c r="N131" s="130"/>
      <c r="O131" s="67">
        <f t="shared" si="19"/>
        <v>0</v>
      </c>
      <c r="P131" s="67">
        <f t="shared" si="20"/>
        <v>0</v>
      </c>
    </row>
    <row r="132" spans="2:16">
      <c r="B132" t="str">
        <f t="shared" si="15"/>
        <v/>
      </c>
      <c r="C132" s="62">
        <f>IF(D94="","-",+C131+1)</f>
        <v>2050</v>
      </c>
      <c r="D132" s="63">
        <f>IF(F131+SUM(E$100:E131)=D$93,F131,D$93-SUM(E$100:E131))</f>
        <v>0</v>
      </c>
      <c r="E132" s="69">
        <f t="shared" si="21"/>
        <v>0</v>
      </c>
      <c r="F132" s="68">
        <f t="shared" ref="F132:F155" si="25">+D132-E132</f>
        <v>0</v>
      </c>
      <c r="G132" s="68">
        <f t="shared" ref="G132:G155" si="26">+(F132+D132)/2</f>
        <v>0</v>
      </c>
      <c r="H132" s="128">
        <f t="shared" si="16"/>
        <v>0</v>
      </c>
      <c r="I132" s="137">
        <f t="shared" si="24"/>
        <v>0</v>
      </c>
      <c r="J132" s="67">
        <f t="shared" ref="J132:J155" si="27">+I542-H542</f>
        <v>0</v>
      </c>
      <c r="K132" s="67"/>
      <c r="L132" s="130"/>
      <c r="M132" s="67">
        <f t="shared" ref="M132:M155" si="28">IF(L542&lt;&gt;0,+H542-L542,0)</f>
        <v>0</v>
      </c>
      <c r="N132" s="130"/>
      <c r="O132" s="67">
        <f t="shared" ref="O132:O155" si="29">IF(N542&lt;&gt;0,+I542-N542,0)</f>
        <v>0</v>
      </c>
      <c r="P132" s="67">
        <f t="shared" ref="P132:P155" si="30">+O542-M542</f>
        <v>0</v>
      </c>
    </row>
    <row r="133" spans="2:16">
      <c r="B133" t="str">
        <f t="shared" si="15"/>
        <v/>
      </c>
      <c r="C133" s="62">
        <f>IF(D94="","-",+C132+1)</f>
        <v>2051</v>
      </c>
      <c r="D133" s="63">
        <f>IF(F132+SUM(E$100:E132)=D$93,F132,D$93-SUM(E$100:E132))</f>
        <v>0</v>
      </c>
      <c r="E133" s="69">
        <f t="shared" ref="E133:E155" si="31">IF(+J$97&lt;F132,J$97,D133)</f>
        <v>0</v>
      </c>
      <c r="F133" s="68">
        <f t="shared" si="25"/>
        <v>0</v>
      </c>
      <c r="G133" s="68">
        <f t="shared" si="26"/>
        <v>0</v>
      </c>
      <c r="H133" s="128">
        <f t="shared" si="16"/>
        <v>0</v>
      </c>
      <c r="I133" s="137">
        <f t="shared" si="24"/>
        <v>0</v>
      </c>
      <c r="J133" s="67">
        <f t="shared" si="27"/>
        <v>0</v>
      </c>
      <c r="K133" s="67"/>
      <c r="L133" s="130"/>
      <c r="M133" s="67">
        <f t="shared" si="28"/>
        <v>0</v>
      </c>
      <c r="N133" s="130"/>
      <c r="O133" s="67">
        <f t="shared" si="29"/>
        <v>0</v>
      </c>
      <c r="P133" s="67">
        <f t="shared" si="30"/>
        <v>0</v>
      </c>
    </row>
    <row r="134" spans="2:16">
      <c r="B134" t="str">
        <f t="shared" si="15"/>
        <v/>
      </c>
      <c r="C134" s="62">
        <f>IF(D94="","-",+C133+1)</f>
        <v>2052</v>
      </c>
      <c r="D134" s="63">
        <f>IF(F133+SUM(E$100:E133)=D$93,F133,D$93-SUM(E$100:E133))</f>
        <v>0</v>
      </c>
      <c r="E134" s="69">
        <f t="shared" si="31"/>
        <v>0</v>
      </c>
      <c r="F134" s="68">
        <f t="shared" si="25"/>
        <v>0</v>
      </c>
      <c r="G134" s="68">
        <f t="shared" si="26"/>
        <v>0</v>
      </c>
      <c r="H134" s="128">
        <f t="shared" si="16"/>
        <v>0</v>
      </c>
      <c r="I134" s="137">
        <f t="shared" si="24"/>
        <v>0</v>
      </c>
      <c r="J134" s="67">
        <f t="shared" si="27"/>
        <v>0</v>
      </c>
      <c r="K134" s="67"/>
      <c r="L134" s="130"/>
      <c r="M134" s="67">
        <f t="shared" si="28"/>
        <v>0</v>
      </c>
      <c r="N134" s="130"/>
      <c r="O134" s="67">
        <f t="shared" si="29"/>
        <v>0</v>
      </c>
      <c r="P134" s="67">
        <f t="shared" si="30"/>
        <v>0</v>
      </c>
    </row>
    <row r="135" spans="2:16">
      <c r="B135" t="str">
        <f t="shared" si="15"/>
        <v/>
      </c>
      <c r="C135" s="62">
        <f>IF(D94="","-",+C134+1)</f>
        <v>2053</v>
      </c>
      <c r="D135" s="63">
        <f>IF(F134+SUM(E$100:E134)=D$93,F134,D$93-SUM(E$100:E134))</f>
        <v>0</v>
      </c>
      <c r="E135" s="69">
        <f t="shared" si="31"/>
        <v>0</v>
      </c>
      <c r="F135" s="68">
        <f t="shared" si="25"/>
        <v>0</v>
      </c>
      <c r="G135" s="68">
        <f t="shared" si="26"/>
        <v>0</v>
      </c>
      <c r="H135" s="128">
        <f t="shared" si="16"/>
        <v>0</v>
      </c>
      <c r="I135" s="137">
        <f t="shared" si="24"/>
        <v>0</v>
      </c>
      <c r="J135" s="67">
        <f t="shared" si="27"/>
        <v>0</v>
      </c>
      <c r="K135" s="67"/>
      <c r="L135" s="130"/>
      <c r="M135" s="67">
        <f t="shared" si="28"/>
        <v>0</v>
      </c>
      <c r="N135" s="130"/>
      <c r="O135" s="67">
        <f t="shared" si="29"/>
        <v>0</v>
      </c>
      <c r="P135" s="67">
        <f t="shared" si="30"/>
        <v>0</v>
      </c>
    </row>
    <row r="136" spans="2:16">
      <c r="B136" t="str">
        <f t="shared" si="15"/>
        <v/>
      </c>
      <c r="C136" s="62">
        <f>IF(D94="","-",+C135+1)</f>
        <v>2054</v>
      </c>
      <c r="D136" s="63">
        <f>IF(F135+SUM(E$100:E135)=D$93,F135,D$93-SUM(E$100:E135))</f>
        <v>0</v>
      </c>
      <c r="E136" s="69">
        <f t="shared" si="31"/>
        <v>0</v>
      </c>
      <c r="F136" s="68">
        <f t="shared" si="25"/>
        <v>0</v>
      </c>
      <c r="G136" s="68">
        <f t="shared" si="26"/>
        <v>0</v>
      </c>
      <c r="H136" s="128">
        <f t="shared" si="16"/>
        <v>0</v>
      </c>
      <c r="I136" s="137">
        <f t="shared" si="24"/>
        <v>0</v>
      </c>
      <c r="J136" s="67">
        <f t="shared" si="27"/>
        <v>0</v>
      </c>
      <c r="K136" s="67"/>
      <c r="L136" s="130"/>
      <c r="M136" s="67">
        <f t="shared" si="28"/>
        <v>0</v>
      </c>
      <c r="N136" s="130"/>
      <c r="O136" s="67">
        <f t="shared" si="29"/>
        <v>0</v>
      </c>
      <c r="P136" s="67">
        <f t="shared" si="30"/>
        <v>0</v>
      </c>
    </row>
    <row r="137" spans="2:16">
      <c r="B137" t="str">
        <f t="shared" si="15"/>
        <v/>
      </c>
      <c r="C137" s="62">
        <f>IF(D94="","-",+C136+1)</f>
        <v>2055</v>
      </c>
      <c r="D137" s="63">
        <f>IF(F136+SUM(E$100:E136)=D$93,F136,D$93-SUM(E$100:E136))</f>
        <v>0</v>
      </c>
      <c r="E137" s="69">
        <f t="shared" si="31"/>
        <v>0</v>
      </c>
      <c r="F137" s="68">
        <f t="shared" si="25"/>
        <v>0</v>
      </c>
      <c r="G137" s="68">
        <f t="shared" si="26"/>
        <v>0</v>
      </c>
      <c r="H137" s="128">
        <f t="shared" si="16"/>
        <v>0</v>
      </c>
      <c r="I137" s="137">
        <f t="shared" si="24"/>
        <v>0</v>
      </c>
      <c r="J137" s="67">
        <f t="shared" si="27"/>
        <v>0</v>
      </c>
      <c r="K137" s="67"/>
      <c r="L137" s="130"/>
      <c r="M137" s="67">
        <f t="shared" si="28"/>
        <v>0</v>
      </c>
      <c r="N137" s="130"/>
      <c r="O137" s="67">
        <f t="shared" si="29"/>
        <v>0</v>
      </c>
      <c r="P137" s="67">
        <f t="shared" si="30"/>
        <v>0</v>
      </c>
    </row>
    <row r="138" spans="2:16">
      <c r="B138" t="str">
        <f t="shared" si="15"/>
        <v/>
      </c>
      <c r="C138" s="62">
        <f>IF(D94="","-",+C137+1)</f>
        <v>2056</v>
      </c>
      <c r="D138" s="63">
        <f>IF(F137+SUM(E$100:E137)=D$93,F137,D$93-SUM(E$100:E137))</f>
        <v>0</v>
      </c>
      <c r="E138" s="69">
        <f t="shared" si="31"/>
        <v>0</v>
      </c>
      <c r="F138" s="68">
        <f t="shared" si="25"/>
        <v>0</v>
      </c>
      <c r="G138" s="68">
        <f t="shared" si="26"/>
        <v>0</v>
      </c>
      <c r="H138" s="128">
        <f t="shared" si="16"/>
        <v>0</v>
      </c>
      <c r="I138" s="137">
        <f t="shared" si="24"/>
        <v>0</v>
      </c>
      <c r="J138" s="67">
        <f t="shared" si="27"/>
        <v>0</v>
      </c>
      <c r="K138" s="67"/>
      <c r="L138" s="130"/>
      <c r="M138" s="67">
        <f t="shared" si="28"/>
        <v>0</v>
      </c>
      <c r="N138" s="130"/>
      <c r="O138" s="67">
        <f t="shared" si="29"/>
        <v>0</v>
      </c>
      <c r="P138" s="67">
        <f t="shared" si="30"/>
        <v>0</v>
      </c>
    </row>
    <row r="139" spans="2:16">
      <c r="B139" t="str">
        <f t="shared" si="15"/>
        <v/>
      </c>
      <c r="C139" s="62">
        <f>IF(D94="","-",+C138+1)</f>
        <v>2057</v>
      </c>
      <c r="D139" s="63">
        <f>IF(F138+SUM(E$100:E138)=D$93,F138,D$93-SUM(E$100:E138))</f>
        <v>0</v>
      </c>
      <c r="E139" s="69">
        <f t="shared" si="31"/>
        <v>0</v>
      </c>
      <c r="F139" s="68">
        <f t="shared" si="25"/>
        <v>0</v>
      </c>
      <c r="G139" s="68">
        <f t="shared" si="26"/>
        <v>0</v>
      </c>
      <c r="H139" s="128">
        <f t="shared" si="16"/>
        <v>0</v>
      </c>
      <c r="I139" s="137">
        <f t="shared" si="24"/>
        <v>0</v>
      </c>
      <c r="J139" s="67">
        <f t="shared" si="27"/>
        <v>0</v>
      </c>
      <c r="K139" s="67"/>
      <c r="L139" s="130"/>
      <c r="M139" s="67">
        <f t="shared" si="28"/>
        <v>0</v>
      </c>
      <c r="N139" s="130"/>
      <c r="O139" s="67">
        <f t="shared" si="29"/>
        <v>0</v>
      </c>
      <c r="P139" s="67">
        <f t="shared" si="30"/>
        <v>0</v>
      </c>
    </row>
    <row r="140" spans="2:16">
      <c r="B140" t="str">
        <f t="shared" si="15"/>
        <v/>
      </c>
      <c r="C140" s="62">
        <f>IF(D94="","-",+C139+1)</f>
        <v>2058</v>
      </c>
      <c r="D140" s="63">
        <f>IF(F139+SUM(E$100:E139)=D$93,F139,D$93-SUM(E$100:E139))</f>
        <v>0</v>
      </c>
      <c r="E140" s="69">
        <f t="shared" si="31"/>
        <v>0</v>
      </c>
      <c r="F140" s="68">
        <f t="shared" si="25"/>
        <v>0</v>
      </c>
      <c r="G140" s="68">
        <f t="shared" si="26"/>
        <v>0</v>
      </c>
      <c r="H140" s="128">
        <f t="shared" si="16"/>
        <v>0</v>
      </c>
      <c r="I140" s="137">
        <f t="shared" si="24"/>
        <v>0</v>
      </c>
      <c r="J140" s="67">
        <f t="shared" si="27"/>
        <v>0</v>
      </c>
      <c r="K140" s="67"/>
      <c r="L140" s="130"/>
      <c r="M140" s="67">
        <f t="shared" si="28"/>
        <v>0</v>
      </c>
      <c r="N140" s="130"/>
      <c r="O140" s="67">
        <f t="shared" si="29"/>
        <v>0</v>
      </c>
      <c r="P140" s="67">
        <f t="shared" si="30"/>
        <v>0</v>
      </c>
    </row>
    <row r="141" spans="2:16">
      <c r="B141" t="str">
        <f t="shared" si="15"/>
        <v/>
      </c>
      <c r="C141" s="62">
        <f>IF(D94="","-",+C140+1)</f>
        <v>2059</v>
      </c>
      <c r="D141" s="63">
        <f>IF(F140+SUM(E$100:E140)=D$93,F140,D$93-SUM(E$100:E140))</f>
        <v>0</v>
      </c>
      <c r="E141" s="69">
        <f t="shared" si="31"/>
        <v>0</v>
      </c>
      <c r="F141" s="68">
        <f t="shared" si="25"/>
        <v>0</v>
      </c>
      <c r="G141" s="68">
        <f t="shared" si="26"/>
        <v>0</v>
      </c>
      <c r="H141" s="128">
        <f t="shared" si="16"/>
        <v>0</v>
      </c>
      <c r="I141" s="137">
        <f t="shared" si="24"/>
        <v>0</v>
      </c>
      <c r="J141" s="67">
        <f t="shared" si="27"/>
        <v>0</v>
      </c>
      <c r="K141" s="67"/>
      <c r="L141" s="130"/>
      <c r="M141" s="67">
        <f t="shared" si="28"/>
        <v>0</v>
      </c>
      <c r="N141" s="130"/>
      <c r="O141" s="67">
        <f t="shared" si="29"/>
        <v>0</v>
      </c>
      <c r="P141" s="67">
        <f t="shared" si="30"/>
        <v>0</v>
      </c>
    </row>
    <row r="142" spans="2:16">
      <c r="B142" t="str">
        <f t="shared" si="15"/>
        <v/>
      </c>
      <c r="C142" s="62">
        <f>IF(D94="","-",+C141+1)</f>
        <v>2060</v>
      </c>
      <c r="D142" s="63">
        <f>IF(F141+SUM(E$100:E141)=D$93,F141,D$93-SUM(E$100:E141))</f>
        <v>0</v>
      </c>
      <c r="E142" s="69">
        <f t="shared" si="31"/>
        <v>0</v>
      </c>
      <c r="F142" s="68">
        <f t="shared" si="25"/>
        <v>0</v>
      </c>
      <c r="G142" s="68">
        <f t="shared" si="26"/>
        <v>0</v>
      </c>
      <c r="H142" s="128">
        <f t="shared" si="16"/>
        <v>0</v>
      </c>
      <c r="I142" s="137">
        <f t="shared" si="24"/>
        <v>0</v>
      </c>
      <c r="J142" s="67">
        <f t="shared" si="27"/>
        <v>0</v>
      </c>
      <c r="K142" s="67"/>
      <c r="L142" s="130"/>
      <c r="M142" s="67">
        <f t="shared" si="28"/>
        <v>0</v>
      </c>
      <c r="N142" s="130"/>
      <c r="O142" s="67">
        <f t="shared" si="29"/>
        <v>0</v>
      </c>
      <c r="P142" s="67">
        <f t="shared" si="30"/>
        <v>0</v>
      </c>
    </row>
    <row r="143" spans="2:16">
      <c r="B143" t="str">
        <f t="shared" si="15"/>
        <v/>
      </c>
      <c r="C143" s="62">
        <f>IF(D94="","-",+C142+1)</f>
        <v>2061</v>
      </c>
      <c r="D143" s="63">
        <f>IF(F142+SUM(E$100:E142)=D$93,F142,D$93-SUM(E$100:E142))</f>
        <v>0</v>
      </c>
      <c r="E143" s="69">
        <f t="shared" si="31"/>
        <v>0</v>
      </c>
      <c r="F143" s="68">
        <f t="shared" si="25"/>
        <v>0</v>
      </c>
      <c r="G143" s="68">
        <f t="shared" si="26"/>
        <v>0</v>
      </c>
      <c r="H143" s="128">
        <f t="shared" si="16"/>
        <v>0</v>
      </c>
      <c r="I143" s="137">
        <f t="shared" si="24"/>
        <v>0</v>
      </c>
      <c r="J143" s="67">
        <f t="shared" si="27"/>
        <v>0</v>
      </c>
      <c r="K143" s="67"/>
      <c r="L143" s="130"/>
      <c r="M143" s="67">
        <f t="shared" si="28"/>
        <v>0</v>
      </c>
      <c r="N143" s="130"/>
      <c r="O143" s="67">
        <f t="shared" si="29"/>
        <v>0</v>
      </c>
      <c r="P143" s="67">
        <f t="shared" si="30"/>
        <v>0</v>
      </c>
    </row>
    <row r="144" spans="2:16">
      <c r="B144" t="str">
        <f t="shared" si="15"/>
        <v/>
      </c>
      <c r="C144" s="62">
        <f>IF(D94="","-",+C143+1)</f>
        <v>2062</v>
      </c>
      <c r="D144" s="63">
        <f>IF(F143+SUM(E$100:E143)=D$93,F143,D$93-SUM(E$100:E143))</f>
        <v>0</v>
      </c>
      <c r="E144" s="69">
        <f t="shared" si="31"/>
        <v>0</v>
      </c>
      <c r="F144" s="68">
        <f t="shared" si="25"/>
        <v>0</v>
      </c>
      <c r="G144" s="68">
        <f t="shared" si="26"/>
        <v>0</v>
      </c>
      <c r="H144" s="128">
        <f t="shared" si="16"/>
        <v>0</v>
      </c>
      <c r="I144" s="137">
        <f t="shared" si="24"/>
        <v>0</v>
      </c>
      <c r="J144" s="67">
        <f t="shared" si="27"/>
        <v>0</v>
      </c>
      <c r="K144" s="67"/>
      <c r="L144" s="130"/>
      <c r="M144" s="67">
        <f t="shared" si="28"/>
        <v>0</v>
      </c>
      <c r="N144" s="130"/>
      <c r="O144" s="67">
        <f t="shared" si="29"/>
        <v>0</v>
      </c>
      <c r="P144" s="67">
        <f t="shared" si="30"/>
        <v>0</v>
      </c>
    </row>
    <row r="145" spans="2:16">
      <c r="B145" t="str">
        <f t="shared" si="15"/>
        <v/>
      </c>
      <c r="C145" s="62">
        <f>IF(D94="","-",+C144+1)</f>
        <v>2063</v>
      </c>
      <c r="D145" s="63">
        <f>IF(F144+SUM(E$100:E144)=D$93,F144,D$93-SUM(E$100:E144))</f>
        <v>0</v>
      </c>
      <c r="E145" s="69">
        <f t="shared" si="31"/>
        <v>0</v>
      </c>
      <c r="F145" s="68">
        <f t="shared" si="25"/>
        <v>0</v>
      </c>
      <c r="G145" s="68">
        <f t="shared" si="26"/>
        <v>0</v>
      </c>
      <c r="H145" s="128">
        <f t="shared" si="16"/>
        <v>0</v>
      </c>
      <c r="I145" s="137">
        <f t="shared" si="24"/>
        <v>0</v>
      </c>
      <c r="J145" s="67">
        <f t="shared" si="27"/>
        <v>0</v>
      </c>
      <c r="K145" s="67"/>
      <c r="L145" s="130"/>
      <c r="M145" s="67">
        <f t="shared" si="28"/>
        <v>0</v>
      </c>
      <c r="N145" s="130"/>
      <c r="O145" s="67">
        <f t="shared" si="29"/>
        <v>0</v>
      </c>
      <c r="P145" s="67">
        <f t="shared" si="30"/>
        <v>0</v>
      </c>
    </row>
    <row r="146" spans="2:16">
      <c r="B146" t="str">
        <f t="shared" si="15"/>
        <v/>
      </c>
      <c r="C146" s="62">
        <f>IF(D94="","-",+C145+1)</f>
        <v>2064</v>
      </c>
      <c r="D146" s="63">
        <f>IF(F145+SUM(E$100:E145)=D$93,F145,D$93-SUM(E$100:E145))</f>
        <v>0</v>
      </c>
      <c r="E146" s="69">
        <f t="shared" si="31"/>
        <v>0</v>
      </c>
      <c r="F146" s="68">
        <f t="shared" si="25"/>
        <v>0</v>
      </c>
      <c r="G146" s="68">
        <f t="shared" si="26"/>
        <v>0</v>
      </c>
      <c r="H146" s="128">
        <f t="shared" si="16"/>
        <v>0</v>
      </c>
      <c r="I146" s="137">
        <f t="shared" si="24"/>
        <v>0</v>
      </c>
      <c r="J146" s="67">
        <f t="shared" si="27"/>
        <v>0</v>
      </c>
      <c r="K146" s="67"/>
      <c r="L146" s="130"/>
      <c r="M146" s="67">
        <f t="shared" si="28"/>
        <v>0</v>
      </c>
      <c r="N146" s="130"/>
      <c r="O146" s="67">
        <f t="shared" si="29"/>
        <v>0</v>
      </c>
      <c r="P146" s="67">
        <f t="shared" si="30"/>
        <v>0</v>
      </c>
    </row>
    <row r="147" spans="2:16">
      <c r="B147" t="str">
        <f t="shared" si="15"/>
        <v/>
      </c>
      <c r="C147" s="62">
        <f>IF(D94="","-",+C146+1)</f>
        <v>2065</v>
      </c>
      <c r="D147" s="63">
        <f>IF(F146+SUM(E$100:E146)=D$93,F146,D$93-SUM(E$100:E146))</f>
        <v>0</v>
      </c>
      <c r="E147" s="69">
        <f t="shared" si="31"/>
        <v>0</v>
      </c>
      <c r="F147" s="68">
        <f t="shared" si="25"/>
        <v>0</v>
      </c>
      <c r="G147" s="68">
        <f t="shared" si="26"/>
        <v>0</v>
      </c>
      <c r="H147" s="128">
        <f t="shared" si="16"/>
        <v>0</v>
      </c>
      <c r="I147" s="137">
        <f t="shared" si="24"/>
        <v>0</v>
      </c>
      <c r="J147" s="67">
        <f t="shared" si="27"/>
        <v>0</v>
      </c>
      <c r="K147" s="67"/>
      <c r="L147" s="130"/>
      <c r="M147" s="67">
        <f t="shared" si="28"/>
        <v>0</v>
      </c>
      <c r="N147" s="130"/>
      <c r="O147" s="67">
        <f t="shared" si="29"/>
        <v>0</v>
      </c>
      <c r="P147" s="67">
        <f t="shared" si="30"/>
        <v>0</v>
      </c>
    </row>
    <row r="148" spans="2:16">
      <c r="B148" t="str">
        <f t="shared" si="15"/>
        <v/>
      </c>
      <c r="C148" s="62">
        <f>IF(D94="","-",+C147+1)</f>
        <v>2066</v>
      </c>
      <c r="D148" s="63">
        <f>IF(F147+SUM(E$100:E147)=D$93,F147,D$93-SUM(E$100:E147))</f>
        <v>0</v>
      </c>
      <c r="E148" s="69">
        <f t="shared" si="31"/>
        <v>0</v>
      </c>
      <c r="F148" s="68">
        <f t="shared" si="25"/>
        <v>0</v>
      </c>
      <c r="G148" s="68">
        <f t="shared" si="26"/>
        <v>0</v>
      </c>
      <c r="H148" s="128">
        <f t="shared" si="16"/>
        <v>0</v>
      </c>
      <c r="I148" s="137">
        <f t="shared" si="24"/>
        <v>0</v>
      </c>
      <c r="J148" s="67">
        <f t="shared" si="27"/>
        <v>0</v>
      </c>
      <c r="K148" s="67"/>
      <c r="L148" s="130"/>
      <c r="M148" s="67">
        <f t="shared" si="28"/>
        <v>0</v>
      </c>
      <c r="N148" s="130"/>
      <c r="O148" s="67">
        <f t="shared" si="29"/>
        <v>0</v>
      </c>
      <c r="P148" s="67">
        <f t="shared" si="30"/>
        <v>0</v>
      </c>
    </row>
    <row r="149" spans="2:16">
      <c r="B149" t="str">
        <f t="shared" si="15"/>
        <v/>
      </c>
      <c r="C149" s="62">
        <f>IF(D94="","-",+C148+1)</f>
        <v>2067</v>
      </c>
      <c r="D149" s="63">
        <f>IF(F148+SUM(E$100:E148)=D$93,F148,D$93-SUM(E$100:E148))</f>
        <v>0</v>
      </c>
      <c r="E149" s="69">
        <f t="shared" si="31"/>
        <v>0</v>
      </c>
      <c r="F149" s="68">
        <f t="shared" si="25"/>
        <v>0</v>
      </c>
      <c r="G149" s="68">
        <f t="shared" si="26"/>
        <v>0</v>
      </c>
      <c r="H149" s="128">
        <f t="shared" si="16"/>
        <v>0</v>
      </c>
      <c r="I149" s="137">
        <f t="shared" si="24"/>
        <v>0</v>
      </c>
      <c r="J149" s="67">
        <f t="shared" si="27"/>
        <v>0</v>
      </c>
      <c r="K149" s="67"/>
      <c r="L149" s="130"/>
      <c r="M149" s="67">
        <f t="shared" si="28"/>
        <v>0</v>
      </c>
      <c r="N149" s="130"/>
      <c r="O149" s="67">
        <f t="shared" si="29"/>
        <v>0</v>
      </c>
      <c r="P149" s="67">
        <f t="shared" si="30"/>
        <v>0</v>
      </c>
    </row>
    <row r="150" spans="2:16">
      <c r="B150" t="str">
        <f t="shared" si="15"/>
        <v/>
      </c>
      <c r="C150" s="62">
        <f>IF(D94="","-",+C149+1)</f>
        <v>2068</v>
      </c>
      <c r="D150" s="63">
        <f>IF(F149+SUM(E$100:E149)=D$93,F149,D$93-SUM(E$100:E149))</f>
        <v>0</v>
      </c>
      <c r="E150" s="69">
        <f t="shared" si="31"/>
        <v>0</v>
      </c>
      <c r="F150" s="68">
        <f t="shared" si="25"/>
        <v>0</v>
      </c>
      <c r="G150" s="68">
        <f t="shared" si="26"/>
        <v>0</v>
      </c>
      <c r="H150" s="128">
        <f t="shared" si="16"/>
        <v>0</v>
      </c>
      <c r="I150" s="137">
        <f t="shared" si="24"/>
        <v>0</v>
      </c>
      <c r="J150" s="67">
        <f t="shared" si="27"/>
        <v>0</v>
      </c>
      <c r="K150" s="67"/>
      <c r="L150" s="130"/>
      <c r="M150" s="67">
        <f t="shared" si="28"/>
        <v>0</v>
      </c>
      <c r="N150" s="130"/>
      <c r="O150" s="67">
        <f t="shared" si="29"/>
        <v>0</v>
      </c>
      <c r="P150" s="67">
        <f t="shared" si="30"/>
        <v>0</v>
      </c>
    </row>
    <row r="151" spans="2:16">
      <c r="B151" t="str">
        <f t="shared" si="15"/>
        <v/>
      </c>
      <c r="C151" s="62">
        <f>IF(D94="","-",+C150+1)</f>
        <v>2069</v>
      </c>
      <c r="D151" s="63">
        <f>IF(F150+SUM(E$100:E150)=D$93,F150,D$93-SUM(E$100:E150))</f>
        <v>0</v>
      </c>
      <c r="E151" s="69">
        <f t="shared" si="31"/>
        <v>0</v>
      </c>
      <c r="F151" s="68">
        <f t="shared" si="25"/>
        <v>0</v>
      </c>
      <c r="G151" s="68">
        <f t="shared" si="26"/>
        <v>0</v>
      </c>
      <c r="H151" s="128">
        <f t="shared" si="16"/>
        <v>0</v>
      </c>
      <c r="I151" s="137">
        <f t="shared" si="24"/>
        <v>0</v>
      </c>
      <c r="J151" s="67">
        <f t="shared" si="27"/>
        <v>0</v>
      </c>
      <c r="K151" s="67"/>
      <c r="L151" s="130"/>
      <c r="M151" s="67">
        <f t="shared" si="28"/>
        <v>0</v>
      </c>
      <c r="N151" s="130"/>
      <c r="O151" s="67">
        <f t="shared" si="29"/>
        <v>0</v>
      </c>
      <c r="P151" s="67">
        <f t="shared" si="30"/>
        <v>0</v>
      </c>
    </row>
    <row r="152" spans="2:16">
      <c r="B152" t="str">
        <f t="shared" si="15"/>
        <v/>
      </c>
      <c r="C152" s="62">
        <f>IF(D94="","-",+C151+1)</f>
        <v>2070</v>
      </c>
      <c r="D152" s="63">
        <f>IF(F151+SUM(E$100:E151)=D$93,F151,D$93-SUM(E$100:E151))</f>
        <v>0</v>
      </c>
      <c r="E152" s="69">
        <f t="shared" si="31"/>
        <v>0</v>
      </c>
      <c r="F152" s="68">
        <f t="shared" si="25"/>
        <v>0</v>
      </c>
      <c r="G152" s="68">
        <f t="shared" si="26"/>
        <v>0</v>
      </c>
      <c r="H152" s="128">
        <f t="shared" si="16"/>
        <v>0</v>
      </c>
      <c r="I152" s="137">
        <f t="shared" si="24"/>
        <v>0</v>
      </c>
      <c r="J152" s="67">
        <f t="shared" si="27"/>
        <v>0</v>
      </c>
      <c r="K152" s="67"/>
      <c r="L152" s="130"/>
      <c r="M152" s="67">
        <f t="shared" si="28"/>
        <v>0</v>
      </c>
      <c r="N152" s="130"/>
      <c r="O152" s="67">
        <f t="shared" si="29"/>
        <v>0</v>
      </c>
      <c r="P152" s="67">
        <f t="shared" si="30"/>
        <v>0</v>
      </c>
    </row>
    <row r="153" spans="2:16">
      <c r="B153" t="str">
        <f t="shared" si="15"/>
        <v/>
      </c>
      <c r="C153" s="62">
        <f>IF(D94="","-",+C152+1)</f>
        <v>2071</v>
      </c>
      <c r="D153" s="63">
        <f>IF(F152+SUM(E$100:E152)=D$93,F152,D$93-SUM(E$100:E152))</f>
        <v>0</v>
      </c>
      <c r="E153" s="69">
        <f t="shared" si="31"/>
        <v>0</v>
      </c>
      <c r="F153" s="68">
        <f t="shared" si="25"/>
        <v>0</v>
      </c>
      <c r="G153" s="68">
        <f t="shared" si="26"/>
        <v>0</v>
      </c>
      <c r="H153" s="128">
        <f t="shared" si="16"/>
        <v>0</v>
      </c>
      <c r="I153" s="137">
        <f t="shared" si="24"/>
        <v>0</v>
      </c>
      <c r="J153" s="67">
        <f t="shared" si="27"/>
        <v>0</v>
      </c>
      <c r="K153" s="67"/>
      <c r="L153" s="130"/>
      <c r="M153" s="67">
        <f t="shared" si="28"/>
        <v>0</v>
      </c>
      <c r="N153" s="130"/>
      <c r="O153" s="67">
        <f t="shared" si="29"/>
        <v>0</v>
      </c>
      <c r="P153" s="67">
        <f t="shared" si="30"/>
        <v>0</v>
      </c>
    </row>
    <row r="154" spans="2:16">
      <c r="B154" t="str">
        <f t="shared" si="15"/>
        <v/>
      </c>
      <c r="C154" s="62">
        <f>IF(D94="","-",+C153+1)</f>
        <v>2072</v>
      </c>
      <c r="D154" s="63">
        <f>IF(F153+SUM(E$100:E153)=D$93,F153,D$93-SUM(E$100:E153))</f>
        <v>0</v>
      </c>
      <c r="E154" s="69">
        <f t="shared" si="31"/>
        <v>0</v>
      </c>
      <c r="F154" s="68">
        <f t="shared" si="25"/>
        <v>0</v>
      </c>
      <c r="G154" s="68">
        <f t="shared" si="26"/>
        <v>0</v>
      </c>
      <c r="H154" s="128">
        <f t="shared" si="16"/>
        <v>0</v>
      </c>
      <c r="I154" s="137">
        <f t="shared" si="24"/>
        <v>0</v>
      </c>
      <c r="J154" s="67">
        <f t="shared" si="27"/>
        <v>0</v>
      </c>
      <c r="K154" s="67"/>
      <c r="L154" s="130"/>
      <c r="M154" s="67">
        <f t="shared" si="28"/>
        <v>0</v>
      </c>
      <c r="N154" s="130"/>
      <c r="O154" s="67">
        <f t="shared" si="29"/>
        <v>0</v>
      </c>
      <c r="P154" s="67">
        <f t="shared" si="30"/>
        <v>0</v>
      </c>
    </row>
    <row r="155" spans="2:16" ht="13.5" thickBot="1">
      <c r="B155" t="str">
        <f t="shared" si="15"/>
        <v/>
      </c>
      <c r="C155" s="73">
        <f>IF(D94="","-",+C154+1)</f>
        <v>2073</v>
      </c>
      <c r="D155" s="99">
        <f>IF(F154+SUM(E$100:E154)=D$93,F154,D$93-SUM(E$100:E154))</f>
        <v>0</v>
      </c>
      <c r="E155" s="75">
        <f t="shared" si="31"/>
        <v>0</v>
      </c>
      <c r="F155" s="74">
        <f t="shared" si="25"/>
        <v>0</v>
      </c>
      <c r="G155" s="74">
        <f t="shared" si="26"/>
        <v>0</v>
      </c>
      <c r="H155" s="138">
        <f t="shared" si="16"/>
        <v>0</v>
      </c>
      <c r="I155" s="139">
        <f t="shared" si="24"/>
        <v>0</v>
      </c>
      <c r="J155" s="78">
        <f t="shared" si="27"/>
        <v>0</v>
      </c>
      <c r="K155" s="67"/>
      <c r="L155" s="131"/>
      <c r="M155" s="78">
        <f t="shared" si="28"/>
        <v>0</v>
      </c>
      <c r="N155" s="131"/>
      <c r="O155" s="78">
        <f t="shared" si="29"/>
        <v>0</v>
      </c>
      <c r="P155" s="78">
        <f t="shared" si="30"/>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S137"/>
  <sheetViews>
    <sheetView topLeftCell="J115" zoomScale="80" zoomScaleNormal="80" zoomScaleSheetLayoutView="100" workbookViewId="0">
      <selection activeCell="U34" sqref="U34"/>
    </sheetView>
  </sheetViews>
  <sheetFormatPr defaultColWidth="8.7109375" defaultRowHeight="12.75" customHeight="1"/>
  <cols>
    <col min="1" max="1" width="4.7109375" style="145" customWidth="1"/>
    <col min="2" max="2" width="6.7109375" style="145" customWidth="1"/>
    <col min="3" max="3" width="20.7109375" style="145" customWidth="1"/>
    <col min="4" max="9" width="17.7109375" style="145" customWidth="1"/>
    <col min="10" max="10" width="17.7109375" style="145" bestFit="1" customWidth="1"/>
    <col min="11" max="11" width="2.140625" style="145" customWidth="1"/>
    <col min="12" max="14" width="17.7109375" style="145" customWidth="1"/>
    <col min="15" max="15" width="20.85546875" style="145" customWidth="1"/>
    <col min="16" max="16" width="19.5703125" style="145" customWidth="1"/>
    <col min="17" max="17" width="2.140625" style="145" customWidth="1"/>
    <col min="18" max="18" width="16.42578125" style="145" customWidth="1"/>
    <col min="19" max="19" width="52.42578125" style="145" customWidth="1"/>
    <col min="20" max="16384" width="8.7109375" style="145"/>
  </cols>
  <sheetData>
    <row r="1" spans="1:19" ht="18">
      <c r="A1" s="662" t="str">
        <f>'OKT.WS.F.BPU.ATRR.Projected'!A1</f>
        <v xml:space="preserve">AEP West SPP Member Companies </v>
      </c>
      <c r="B1" s="667"/>
      <c r="C1" s="667"/>
      <c r="D1" s="667"/>
      <c r="E1" s="667"/>
      <c r="F1" s="667"/>
      <c r="G1" s="667"/>
      <c r="H1" s="667"/>
      <c r="I1" s="667"/>
      <c r="J1" s="667"/>
      <c r="K1" s="667"/>
      <c r="Q1" s="221"/>
      <c r="R1" s="221"/>
    </row>
    <row r="2" spans="1:19" ht="18">
      <c r="A2" s="662" t="str">
        <f>'OKT.WS.F.BPU.ATRR.Projected'!A2</f>
        <v>2021 Cost of Service Formula Rate Projected on 2020 FF1 Balances</v>
      </c>
      <c r="B2" s="667"/>
      <c r="C2" s="667"/>
      <c r="D2" s="667"/>
      <c r="E2" s="667"/>
      <c r="F2" s="667"/>
      <c r="G2" s="667"/>
      <c r="H2" s="667"/>
      <c r="I2" s="667"/>
      <c r="J2" s="667"/>
      <c r="K2" s="667"/>
      <c r="Q2" s="233" t="s">
        <v>110</v>
      </c>
      <c r="R2" s="221"/>
    </row>
    <row r="3" spans="1:19" ht="18">
      <c r="A3" s="664" t="s">
        <v>125</v>
      </c>
      <c r="B3" s="665"/>
      <c r="C3" s="665"/>
      <c r="D3" s="665"/>
      <c r="E3" s="665"/>
      <c r="F3" s="665"/>
      <c r="G3" s="665"/>
      <c r="H3" s="665"/>
      <c r="I3" s="665"/>
      <c r="J3" s="665"/>
      <c r="K3" s="665"/>
      <c r="Q3" s="221"/>
      <c r="R3" s="221"/>
    </row>
    <row r="4" spans="1:19" ht="18">
      <c r="A4" s="665" t="str">
        <f>"Based on a Carrying Charge Derived from ""Trued-Up"" "&amp;M16&amp;" Data"</f>
        <v>Based on a Carrying Charge Derived from "Trued-Up" 2021 Data</v>
      </c>
      <c r="B4" s="665"/>
      <c r="C4" s="665"/>
      <c r="D4" s="665"/>
      <c r="E4" s="665"/>
      <c r="F4" s="665"/>
      <c r="G4" s="665"/>
      <c r="H4" s="665"/>
      <c r="I4" s="665"/>
      <c r="J4" s="665"/>
      <c r="K4" s="665"/>
      <c r="Q4" s="221"/>
      <c r="R4" s="221"/>
    </row>
    <row r="5" spans="1:19" ht="18">
      <c r="A5" s="668" t="str">
        <f>'OKT.WS.F.BPU.ATRR.Projected'!A5</f>
        <v>OKLAHOMA TRANSMISSION COMPANY</v>
      </c>
      <c r="B5" s="669"/>
      <c r="C5" s="669"/>
      <c r="D5" s="669"/>
      <c r="E5" s="669"/>
      <c r="F5" s="669"/>
      <c r="G5" s="669"/>
      <c r="H5" s="669"/>
      <c r="I5" s="669"/>
      <c r="J5" s="669"/>
      <c r="K5" s="669"/>
      <c r="Q5" s="221"/>
      <c r="R5" s="221"/>
    </row>
    <row r="6" spans="1:19" ht="20.25">
      <c r="A6" s="381"/>
      <c r="C6" s="306"/>
      <c r="D6" s="157"/>
      <c r="I6" s="213"/>
      <c r="K6" s="221"/>
      <c r="Q6" s="221"/>
      <c r="R6" s="221"/>
    </row>
    <row r="7" spans="1:19">
      <c r="D7" s="157"/>
      <c r="I7" s="213"/>
      <c r="K7" s="221"/>
      <c r="Q7" s="221"/>
      <c r="R7" s="221"/>
    </row>
    <row r="8" spans="1:19" ht="39.75" customHeight="1">
      <c r="B8" s="234" t="s">
        <v>0</v>
      </c>
      <c r="C8" s="659" t="str">
        <f>"Calculate Return and Income Taxes with "&amp;F13&amp;" basis point ROE increase for Projects Qualified for Incentive."</f>
        <v>Calculate Return and Income Taxes with 0 basis point ROE increase for Projects Qualified for Incentive.</v>
      </c>
      <c r="D8" s="660"/>
      <c r="E8" s="660"/>
      <c r="F8" s="660"/>
      <c r="G8" s="660"/>
      <c r="H8" s="660"/>
      <c r="I8" s="660"/>
      <c r="K8" s="221"/>
      <c r="Q8" s="221"/>
      <c r="R8" s="221"/>
    </row>
    <row r="9" spans="1:19" ht="15.75" customHeight="1">
      <c r="C9" s="382"/>
      <c r="D9" s="382"/>
      <c r="E9" s="382"/>
      <c r="F9" s="382"/>
      <c r="G9" s="382"/>
      <c r="H9" s="382"/>
      <c r="I9" s="382"/>
      <c r="K9" s="221"/>
      <c r="Q9" s="221"/>
      <c r="R9" s="221"/>
    </row>
    <row r="10" spans="1:19" ht="15.75">
      <c r="C10" s="236" t="str">
        <f>"A.   Determine 'R' with hypothetical "&amp;F13&amp;" basis point increase in ROE for Identified Projects"</f>
        <v>A.   Determine 'R' with hypothetical 0 basis point increase in ROE for Identified Projects</v>
      </c>
      <c r="D10" s="157"/>
      <c r="I10" s="213"/>
      <c r="K10" s="221"/>
      <c r="Q10" s="221"/>
      <c r="R10" s="221"/>
    </row>
    <row r="11" spans="1:19">
      <c r="D11" s="157"/>
      <c r="I11" s="213"/>
      <c r="K11" s="221"/>
      <c r="Q11" s="221"/>
      <c r="R11" s="221"/>
    </row>
    <row r="12" spans="1:19">
      <c r="C12" s="237" t="str">
        <f>S105</f>
        <v xml:space="preserve">   ROE w/o incentives  (TCOS, ln 143)</v>
      </c>
      <c r="D12" s="157"/>
      <c r="E12" s="238"/>
      <c r="F12" s="239">
        <v>0.105</v>
      </c>
      <c r="G12" s="239"/>
      <c r="H12" s="240"/>
      <c r="I12" s="241"/>
      <c r="J12" s="242"/>
      <c r="K12" s="243"/>
      <c r="L12" s="242"/>
      <c r="M12" s="242"/>
      <c r="N12" s="242"/>
      <c r="O12" s="242"/>
      <c r="P12" s="242"/>
      <c r="Q12" s="243"/>
      <c r="R12" s="279"/>
      <c r="S12" s="244"/>
    </row>
    <row r="13" spans="1:19" ht="13.5" thickBot="1">
      <c r="C13" s="237" t="s">
        <v>1</v>
      </c>
      <c r="D13" s="157"/>
      <c r="E13" s="238"/>
      <c r="F13" s="246">
        <f>R106</f>
        <v>0</v>
      </c>
      <c r="G13" s="383" t="s">
        <v>133</v>
      </c>
      <c r="L13" s="242"/>
      <c r="M13" s="242"/>
      <c r="N13" s="242"/>
      <c r="O13" s="242"/>
      <c r="P13" s="242"/>
      <c r="Q13" s="243"/>
      <c r="R13" s="279"/>
      <c r="S13" s="244"/>
    </row>
    <row r="14" spans="1:19">
      <c r="C14" s="237" t="str">
        <f>"   ROE with additional "&amp;F13&amp;" basis point incentive"</f>
        <v xml:space="preserve">   ROE with additional 0 basis point incentive</v>
      </c>
      <c r="D14" s="238"/>
      <c r="E14" s="238"/>
      <c r="F14" s="247">
        <f>IF((F12+(F13/10000)&gt;0.1245),"ERROR",F12+(F13/10000))</f>
        <v>0.105</v>
      </c>
      <c r="G14" s="248" t="s">
        <v>2</v>
      </c>
      <c r="I14" s="242"/>
      <c r="J14" s="242"/>
      <c r="K14" s="243"/>
      <c r="L14" s="384" t="s">
        <v>79</v>
      </c>
      <c r="M14" s="385"/>
      <c r="N14" s="385"/>
      <c r="O14" s="385"/>
      <c r="P14" s="386"/>
      <c r="Q14" s="243"/>
      <c r="R14" s="279"/>
      <c r="S14" s="244"/>
    </row>
    <row r="15" spans="1:19">
      <c r="C15" s="237" t="s">
        <v>3</v>
      </c>
      <c r="D15" s="157"/>
      <c r="E15" s="238"/>
      <c r="F15" s="247"/>
      <c r="G15" s="247"/>
      <c r="H15" s="238"/>
      <c r="I15" s="242"/>
      <c r="J15" s="242"/>
      <c r="K15" s="243"/>
      <c r="L15" s="258"/>
      <c r="M15" s="243"/>
      <c r="N15" s="243" t="s">
        <v>9</v>
      </c>
      <c r="O15" s="243" t="s">
        <v>10</v>
      </c>
      <c r="P15" s="260" t="s">
        <v>11</v>
      </c>
      <c r="Q15" s="243"/>
      <c r="R15" s="279"/>
      <c r="S15" s="244"/>
    </row>
    <row r="16" spans="1:19">
      <c r="C16" s="243"/>
      <c r="D16" s="250" t="s">
        <v>5</v>
      </c>
      <c r="E16" s="250" t="s">
        <v>6</v>
      </c>
      <c r="F16" s="251" t="s">
        <v>7</v>
      </c>
      <c r="G16" s="251"/>
      <c r="H16" s="238"/>
      <c r="I16" s="242"/>
      <c r="J16" s="242"/>
      <c r="K16" s="243"/>
      <c r="L16" s="258" t="s">
        <v>80</v>
      </c>
      <c r="M16" s="387">
        <v>2021</v>
      </c>
      <c r="N16" s="221"/>
      <c r="O16" s="221"/>
      <c r="P16" s="265"/>
      <c r="Q16" s="243"/>
      <c r="R16" s="279"/>
      <c r="S16" s="244"/>
    </row>
    <row r="17" spans="3:19">
      <c r="C17" s="252" t="s">
        <v>8</v>
      </c>
      <c r="D17" s="253">
        <f>R107</f>
        <v>0.44882270094833293</v>
      </c>
      <c r="E17" s="388">
        <f>R108</f>
        <v>4.0521037666801957E-2</v>
      </c>
      <c r="F17" s="389">
        <f>E17*D17</f>
        <v>1.8186761570843188E-2</v>
      </c>
      <c r="G17" s="389"/>
      <c r="H17" s="238"/>
      <c r="I17" s="242"/>
      <c r="J17" s="256"/>
      <c r="K17" s="257"/>
      <c r="L17" s="264"/>
      <c r="M17" s="390" t="s">
        <v>255</v>
      </c>
      <c r="N17" s="391">
        <f>SUM('OKT.001:OKT.xyz - blank'!M88)</f>
        <v>39209807.067353562</v>
      </c>
      <c r="O17" s="391">
        <f>SUM('OKT.001:OKT.xyz - blank'!N88)</f>
        <v>39209807.067353562</v>
      </c>
      <c r="P17" s="392">
        <f>+O17-N17</f>
        <v>0</v>
      </c>
      <c r="Q17" s="257"/>
      <c r="R17" s="279"/>
      <c r="S17" s="244"/>
    </row>
    <row r="18" spans="3:19" ht="13.5" thickBot="1">
      <c r="C18" s="252" t="s">
        <v>12</v>
      </c>
      <c r="D18" s="253">
        <f>R109</f>
        <v>0</v>
      </c>
      <c r="E18" s="388">
        <f>R110</f>
        <v>0</v>
      </c>
      <c r="F18" s="389">
        <f>E18*D18</f>
        <v>0</v>
      </c>
      <c r="G18" s="389"/>
      <c r="H18" s="261"/>
      <c r="I18" s="261"/>
      <c r="J18" s="262"/>
      <c r="K18" s="263"/>
      <c r="L18" s="264"/>
      <c r="M18" s="393" t="s">
        <v>256</v>
      </c>
      <c r="N18" s="394">
        <f>SUM('OKT.001:OKT.xyz - blank'!M89)</f>
        <v>43514763.10129635</v>
      </c>
      <c r="O18" s="394">
        <f>SUM('OKT.001:OKT.xyz - blank'!N89)</f>
        <v>43514763.10129635</v>
      </c>
      <c r="P18" s="271">
        <f>+O18-N18</f>
        <v>0</v>
      </c>
      <c r="Q18" s="263"/>
      <c r="R18" s="279"/>
      <c r="S18" s="244"/>
    </row>
    <row r="19" spans="3:19">
      <c r="C19" s="266" t="s">
        <v>13</v>
      </c>
      <c r="D19" s="253">
        <f>R111</f>
        <v>0.55117729905166701</v>
      </c>
      <c r="E19" s="388">
        <f>+F14</f>
        <v>0.105</v>
      </c>
      <c r="F19" s="395">
        <f>E19*D19</f>
        <v>5.7873616400425036E-2</v>
      </c>
      <c r="G19" s="395"/>
      <c r="H19" s="261"/>
      <c r="I19" s="261"/>
      <c r="J19" s="247"/>
      <c r="K19" s="263"/>
      <c r="L19" s="264"/>
      <c r="M19" s="396" t="str">
        <f>"True-up Adjustment For "&amp;M16&amp;""</f>
        <v>True-up Adjustment For 2021</v>
      </c>
      <c r="N19" s="397">
        <f>ROUND(N18-N17,0)</f>
        <v>4304956</v>
      </c>
      <c r="O19" s="397">
        <f>ROUND(+O18-O17,0)</f>
        <v>4304956</v>
      </c>
      <c r="P19" s="397">
        <f>ROUND(+P18-P17,0)</f>
        <v>0</v>
      </c>
      <c r="Q19" s="263"/>
      <c r="R19" s="279"/>
      <c r="S19" s="244"/>
    </row>
    <row r="20" spans="3:19">
      <c r="C20" s="237"/>
      <c r="D20" s="238"/>
      <c r="E20" s="290" t="s">
        <v>15</v>
      </c>
      <c r="F20" s="389">
        <f>SUM(F17:F19)</f>
        <v>7.6060377971268217E-2</v>
      </c>
      <c r="G20" s="389"/>
      <c r="H20" s="398"/>
      <c r="I20" s="261"/>
      <c r="J20" s="262"/>
      <c r="K20" s="263"/>
      <c r="L20" s="264"/>
      <c r="M20" s="221"/>
      <c r="N20" s="273" t="str">
        <f>IF(N19=ROUND(SUM('OKT.001:OKT.xyz - blank'!M90),0),"","ERROR")</f>
        <v/>
      </c>
      <c r="O20" s="273" t="str">
        <f>IF(O19=ROUND(SUM('OKT.001:OKT.xyz - blank'!N90),0),"","ERROR")</f>
        <v/>
      </c>
      <c r="P20" s="273" t="str">
        <f>IF(P19=ROUND(SUM('OKT.001:OKT.xyz - blank'!O90),0),"","ERROR")</f>
        <v/>
      </c>
      <c r="Q20" s="263"/>
      <c r="R20" s="279"/>
      <c r="S20" s="244"/>
    </row>
    <row r="21" spans="3:19" ht="13.5" thickBot="1">
      <c r="D21" s="274"/>
      <c r="E21" s="274"/>
      <c r="F21" s="261"/>
      <c r="G21" s="261"/>
      <c r="H21" s="261"/>
      <c r="I21" s="261"/>
      <c r="J21" s="261"/>
      <c r="K21" s="275"/>
      <c r="L21" s="399"/>
      <c r="M21" s="400"/>
      <c r="N21" s="401"/>
      <c r="O21" s="402"/>
      <c r="P21" s="271"/>
      <c r="Q21" s="275"/>
      <c r="R21" s="279"/>
      <c r="S21" s="244"/>
    </row>
    <row r="22" spans="3:19" ht="15.75">
      <c r="C22" s="236" t="str">
        <f>"B.   Determine Return using 'R' with hypothetical "&amp;F13&amp;" basis point ROE increase for Identified Projects."</f>
        <v>B.   Determine Return using 'R' with hypothetical 0 basis point ROE increase for Identified Projects.</v>
      </c>
      <c r="D22" s="274"/>
      <c r="E22" s="274"/>
      <c r="F22" s="276"/>
      <c r="G22" s="276"/>
      <c r="H22" s="261"/>
      <c r="I22" s="238"/>
      <c r="J22" s="261"/>
      <c r="K22" s="275"/>
      <c r="L22" s="261"/>
      <c r="M22" s="261"/>
      <c r="N22" s="261"/>
      <c r="O22" s="261"/>
      <c r="P22" s="261"/>
      <c r="Q22" s="275"/>
      <c r="R22" s="279"/>
      <c r="S22" s="244"/>
    </row>
    <row r="23" spans="3:19">
      <c r="C23" s="243"/>
      <c r="D23" s="274"/>
      <c r="E23" s="274"/>
      <c r="F23" s="275"/>
      <c r="G23" s="275"/>
      <c r="H23" s="275"/>
      <c r="I23" s="275"/>
      <c r="J23" s="275"/>
      <c r="K23" s="275"/>
      <c r="L23" s="175" t="s">
        <v>16</v>
      </c>
      <c r="M23" s="275"/>
      <c r="N23" s="275"/>
      <c r="O23" s="275"/>
      <c r="P23" s="275"/>
      <c r="Q23" s="275"/>
      <c r="R23" s="279"/>
      <c r="S23" s="244"/>
    </row>
    <row r="24" spans="3:19">
      <c r="C24" s="237" t="str">
        <f>S112</f>
        <v xml:space="preserve">   Rate Base  (TCOS, ln 63)</v>
      </c>
      <c r="D24" s="238"/>
      <c r="E24" s="280">
        <f>R112</f>
        <v>1024402726.4480751</v>
      </c>
      <c r="F24" s="281"/>
      <c r="G24" s="281"/>
      <c r="H24" s="275"/>
      <c r="I24" s="275"/>
      <c r="J24" s="275"/>
      <c r="K24" s="275"/>
      <c r="L24" s="145" t="s">
        <v>17</v>
      </c>
      <c r="M24" s="275"/>
      <c r="N24" s="275"/>
      <c r="O24" s="275"/>
      <c r="P24" s="281"/>
      <c r="Q24" s="275"/>
      <c r="R24" s="279"/>
      <c r="S24" s="244"/>
    </row>
    <row r="25" spans="3:19">
      <c r="C25" s="243" t="s">
        <v>18</v>
      </c>
      <c r="D25" s="240"/>
      <c r="E25" s="282">
        <f>F20</f>
        <v>7.6060377971268217E-2</v>
      </c>
      <c r="F25" s="275"/>
      <c r="G25" s="275"/>
      <c r="H25" s="275"/>
      <c r="I25" s="275"/>
      <c r="J25" s="275"/>
      <c r="K25" s="275"/>
      <c r="L25" s="275"/>
      <c r="M25" s="275"/>
      <c r="N25" s="275"/>
      <c r="O25" s="275"/>
      <c r="P25" s="275"/>
      <c r="Q25" s="275"/>
      <c r="R25" s="279"/>
      <c r="S25" s="244"/>
    </row>
    <row r="26" spans="3:19">
      <c r="C26" s="284" t="s">
        <v>19</v>
      </c>
      <c r="D26" s="284"/>
      <c r="E26" s="262">
        <f>E24*E25</f>
        <v>77916458.568438277</v>
      </c>
      <c r="F26" s="275"/>
      <c r="G26" s="275"/>
      <c r="H26" s="275"/>
      <c r="I26" s="275"/>
      <c r="J26" s="263"/>
      <c r="K26" s="263"/>
      <c r="L26" s="263"/>
      <c r="M26" s="263"/>
      <c r="N26" s="263"/>
      <c r="O26" s="263"/>
      <c r="P26" s="275"/>
      <c r="Q26" s="263"/>
      <c r="R26" s="279"/>
      <c r="S26" s="244"/>
    </row>
    <row r="27" spans="3:19" ht="13.5" thickBot="1">
      <c r="C27" s="285"/>
      <c r="D27" s="242"/>
      <c r="E27" s="242"/>
      <c r="F27" s="275"/>
      <c r="G27" s="275"/>
      <c r="H27" s="275"/>
      <c r="I27" s="275"/>
      <c r="J27" s="263"/>
      <c r="K27" s="263"/>
      <c r="L27" s="263"/>
      <c r="M27" s="263"/>
      <c r="N27" s="403">
        <v>39804485.030792631</v>
      </c>
      <c r="O27" s="263"/>
      <c r="P27" s="275"/>
      <c r="Q27" s="263"/>
      <c r="R27" s="279"/>
      <c r="S27" s="244"/>
    </row>
    <row r="28" spans="3:19" ht="15.7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7"/>
      <c r="J28" s="288"/>
      <c r="K28" s="288"/>
      <c r="L28" s="288"/>
      <c r="M28" s="288"/>
      <c r="N28" s="288">
        <f>+N18</f>
        <v>43514763.10129635</v>
      </c>
      <c r="O28" s="404"/>
      <c r="P28" s="287"/>
      <c r="Q28" s="288"/>
      <c r="R28" s="279"/>
      <c r="S28" s="244"/>
    </row>
    <row r="29" spans="3:19">
      <c r="C29" s="237"/>
      <c r="D29" s="242"/>
      <c r="E29" s="242"/>
      <c r="F29" s="275"/>
      <c r="G29" s="275"/>
      <c r="H29" s="275"/>
      <c r="I29" s="275"/>
      <c r="J29" s="263"/>
      <c r="K29" s="263"/>
      <c r="L29" s="263"/>
      <c r="M29" s="263"/>
      <c r="N29" s="405">
        <f>+N27-N28</f>
        <v>-3710278.0705037192</v>
      </c>
      <c r="O29" s="263"/>
      <c r="P29" s="275"/>
      <c r="Q29" s="263"/>
      <c r="R29" s="279"/>
      <c r="S29" s="244"/>
    </row>
    <row r="30" spans="3:19">
      <c r="C30" s="243" t="s">
        <v>20</v>
      </c>
      <c r="D30" s="290"/>
      <c r="E30" s="291">
        <f>E26</f>
        <v>77916458.568438277</v>
      </c>
      <c r="F30" s="275"/>
      <c r="G30" s="275"/>
      <c r="H30" s="275"/>
      <c r="I30" s="275"/>
      <c r="J30" s="275"/>
      <c r="K30" s="275"/>
      <c r="L30" s="275"/>
      <c r="M30" s="275"/>
      <c r="N30" s="275"/>
      <c r="O30" s="275"/>
      <c r="P30" s="275"/>
      <c r="Q30" s="275"/>
      <c r="R30" s="279"/>
      <c r="S30" s="244"/>
    </row>
    <row r="31" spans="3:19">
      <c r="C31" s="237" t="str">
        <f>S113</f>
        <v xml:space="preserve">   Tax Rate  (TCOS, ln 99)</v>
      </c>
      <c r="D31" s="290"/>
      <c r="E31" s="292">
        <f>R113</f>
        <v>0.25708399999999998</v>
      </c>
      <c r="F31" s="275"/>
      <c r="G31" s="275"/>
      <c r="H31" s="275"/>
      <c r="I31" s="275"/>
      <c r="J31" s="275"/>
      <c r="K31" s="275"/>
      <c r="L31" s="275"/>
      <c r="M31" s="275"/>
      <c r="N31" s="275"/>
      <c r="O31" s="275"/>
      <c r="P31" s="275"/>
      <c r="Q31" s="275"/>
      <c r="R31" s="279"/>
      <c r="S31" s="279"/>
    </row>
    <row r="32" spans="3:19">
      <c r="C32" s="243" t="s">
        <v>21</v>
      </c>
      <c r="D32" s="293"/>
      <c r="E32" s="247">
        <f>IF(F17&gt;0,($E31/(1-$E31))*(1-$F17/$F20),0)</f>
        <v>0.26330401341712056</v>
      </c>
      <c r="F32" s="279"/>
      <c r="G32" s="279"/>
      <c r="H32" s="279"/>
      <c r="I32" s="295"/>
      <c r="J32" s="279"/>
      <c r="K32" s="279"/>
      <c r="L32" s="279"/>
      <c r="M32" s="279"/>
      <c r="N32" s="279"/>
      <c r="O32" s="279"/>
      <c r="P32" s="279"/>
      <c r="Q32" s="279"/>
      <c r="R32" s="279"/>
      <c r="S32" s="292"/>
    </row>
    <row r="33" spans="2:19">
      <c r="C33" s="406" t="s">
        <v>22</v>
      </c>
      <c r="D33" s="407"/>
      <c r="E33" s="298">
        <f>E30*E32</f>
        <v>20515716.252318591</v>
      </c>
      <c r="F33" s="279"/>
      <c r="G33" s="279"/>
      <c r="H33" s="279"/>
      <c r="I33" s="295"/>
      <c r="J33" s="279"/>
      <c r="K33" s="279"/>
      <c r="L33" s="279"/>
      <c r="M33" s="279"/>
      <c r="N33" s="279"/>
      <c r="O33" s="279"/>
      <c r="P33" s="279"/>
      <c r="Q33" s="279"/>
      <c r="R33" s="279"/>
      <c r="S33" s="279"/>
    </row>
    <row r="34" spans="2:19" ht="15">
      <c r="C34" s="237" t="str">
        <f>S114</f>
        <v xml:space="preserve">   ITC Adjustment  (TCOS, ln 108)</v>
      </c>
      <c r="D34" s="301"/>
      <c r="E34" s="302">
        <f>R114</f>
        <v>0</v>
      </c>
      <c r="F34" s="279"/>
      <c r="G34" s="279"/>
      <c r="H34" s="279"/>
      <c r="I34" s="295"/>
      <c r="J34" s="279"/>
      <c r="K34" s="279"/>
      <c r="L34" s="279"/>
      <c r="M34" s="279"/>
      <c r="N34" s="351"/>
      <c r="O34" s="279"/>
      <c r="P34" s="279"/>
      <c r="Q34" s="279"/>
      <c r="R34" s="279"/>
      <c r="S34" s="279"/>
    </row>
    <row r="35" spans="2:19">
      <c r="C35" s="408" t="s">
        <v>294</v>
      </c>
      <c r="D35" s="409"/>
      <c r="E35" s="410">
        <v>871276.53008375282</v>
      </c>
      <c r="F35" s="279"/>
      <c r="G35" s="279"/>
      <c r="H35" s="279"/>
      <c r="I35" s="295"/>
      <c r="J35" s="279"/>
      <c r="K35" s="279"/>
      <c r="L35" s="279"/>
      <c r="M35" s="279"/>
      <c r="N35" s="279"/>
      <c r="O35" s="279"/>
      <c r="P35" s="279"/>
      <c r="Q35" s="279"/>
      <c r="R35" s="279"/>
      <c r="S35" s="279"/>
    </row>
    <row r="36" spans="2:19" ht="15">
      <c r="C36" s="408" t="s">
        <v>295</v>
      </c>
      <c r="D36" s="301"/>
      <c r="E36" s="410">
        <v>237532.97391873723</v>
      </c>
      <c r="F36" s="301"/>
      <c r="G36" s="301"/>
      <c r="H36" s="301"/>
      <c r="I36" s="301"/>
      <c r="J36" s="301"/>
      <c r="K36" s="301"/>
      <c r="L36" s="301"/>
      <c r="M36" s="301"/>
      <c r="N36" s="301"/>
      <c r="O36" s="301"/>
      <c r="P36" s="303"/>
      <c r="Q36" s="301"/>
      <c r="R36" s="279"/>
      <c r="S36" s="279"/>
    </row>
    <row r="37" spans="2:19" ht="15">
      <c r="C37" s="406" t="s">
        <v>23</v>
      </c>
      <c r="D37" s="411"/>
      <c r="E37" s="412">
        <f>SUM(E33:E36)</f>
        <v>21624525.75632108</v>
      </c>
      <c r="F37" s="301"/>
      <c r="G37" s="301"/>
      <c r="H37" s="301"/>
      <c r="I37" s="301"/>
      <c r="J37" s="301"/>
      <c r="K37" s="301"/>
      <c r="L37" s="301"/>
      <c r="M37" s="301"/>
      <c r="N37" s="301"/>
      <c r="O37" s="301"/>
      <c r="P37" s="304"/>
      <c r="Q37" s="301"/>
      <c r="R37" s="279"/>
      <c r="S37" s="244"/>
    </row>
    <row r="38" spans="2:19" ht="12.75" customHeight="1">
      <c r="C38" s="305"/>
      <c r="D38" s="301"/>
      <c r="E38" s="301"/>
      <c r="F38" s="301"/>
      <c r="G38" s="301"/>
      <c r="H38" s="301"/>
      <c r="I38" s="301"/>
      <c r="J38" s="301"/>
      <c r="K38" s="301"/>
      <c r="L38" s="301"/>
      <c r="M38" s="301"/>
      <c r="N38" s="301"/>
      <c r="O38" s="301"/>
      <c r="P38" s="304"/>
      <c r="Q38" s="301"/>
      <c r="R38" s="279"/>
      <c r="S38" s="244"/>
    </row>
    <row r="39" spans="2:19" ht="18.75">
      <c r="B39" s="234" t="s">
        <v>24</v>
      </c>
      <c r="C39" s="306" t="str">
        <f>"Calculate Net Plant Carrying Charge Rate (Fixed Charge Rate or FCR) with hypothetical "&amp;F13&amp;" basis point"</f>
        <v>Calculate Net Plant Carrying Charge Rate (Fixed Charge Rate or FCR) with hypothetical 0 basis point</v>
      </c>
      <c r="D39" s="301"/>
      <c r="E39" s="301"/>
      <c r="F39" s="301"/>
      <c r="G39" s="301"/>
      <c r="H39" s="301"/>
      <c r="I39" s="301"/>
      <c r="J39" s="301"/>
      <c r="K39" s="301"/>
      <c r="L39" s="301"/>
      <c r="M39" s="301"/>
      <c r="N39" s="301"/>
      <c r="O39" s="301"/>
      <c r="P39" s="304"/>
      <c r="Q39" s="301"/>
      <c r="R39" s="279"/>
      <c r="S39" s="244"/>
    </row>
    <row r="40" spans="2:19" ht="18.75" customHeight="1">
      <c r="B40" s="234"/>
      <c r="C40" s="306" t="str">
        <f>"ROE increase."</f>
        <v>ROE increase.</v>
      </c>
      <c r="D40" s="301"/>
      <c r="E40" s="301"/>
      <c r="F40" s="301"/>
      <c r="G40" s="301"/>
      <c r="H40" s="301"/>
      <c r="I40" s="301"/>
      <c r="J40" s="301"/>
      <c r="K40" s="301"/>
      <c r="L40" s="301"/>
      <c r="M40" s="301"/>
      <c r="N40" s="301"/>
      <c r="O40" s="301"/>
      <c r="P40" s="304"/>
      <c r="Q40" s="301"/>
      <c r="R40" s="279"/>
      <c r="S40" s="244"/>
    </row>
    <row r="41" spans="2:19" ht="12.75" customHeight="1">
      <c r="C41" s="305"/>
      <c r="D41" s="301"/>
      <c r="E41" s="301"/>
      <c r="F41" s="301"/>
      <c r="G41" s="301"/>
      <c r="H41" s="301"/>
      <c r="I41" s="301"/>
      <c r="J41" s="301"/>
      <c r="K41" s="301"/>
      <c r="L41" s="301"/>
      <c r="M41" s="301"/>
      <c r="N41" s="301"/>
      <c r="O41" s="301"/>
      <c r="P41" s="304"/>
      <c r="Q41" s="301"/>
      <c r="R41" s="279"/>
      <c r="S41" s="244"/>
    </row>
    <row r="42" spans="2:19" ht="15.75">
      <c r="B42" s="244"/>
      <c r="C42" s="307" t="s">
        <v>240</v>
      </c>
      <c r="D42" s="308"/>
      <c r="E42" s="308"/>
      <c r="F42" s="308"/>
      <c r="G42" s="308"/>
      <c r="H42" s="308"/>
      <c r="I42" s="308"/>
      <c r="J42" s="308"/>
      <c r="K42" s="308"/>
      <c r="L42" s="308"/>
      <c r="M42" s="308"/>
      <c r="N42" s="308"/>
      <c r="O42" s="308"/>
      <c r="P42" s="302"/>
      <c r="Q42" s="308"/>
      <c r="R42" s="279"/>
      <c r="S42" s="244"/>
    </row>
    <row r="43" spans="2:19" ht="15.75">
      <c r="B43" s="244"/>
      <c r="C43" s="307"/>
      <c r="D43" s="308"/>
      <c r="E43" s="308"/>
      <c r="F43" s="308"/>
      <c r="G43" s="308"/>
      <c r="H43" s="308"/>
      <c r="I43" s="308"/>
      <c r="J43" s="308"/>
      <c r="K43" s="308"/>
      <c r="L43" s="308"/>
      <c r="M43" s="308"/>
      <c r="N43" s="308"/>
      <c r="O43" s="308"/>
      <c r="P43" s="302"/>
      <c r="Q43" s="308"/>
      <c r="R43" s="279"/>
      <c r="S43" s="244"/>
    </row>
    <row r="44" spans="2:19" ht="12.75" customHeight="1">
      <c r="B44" s="244"/>
      <c r="C44" s="237" t="str">
        <f>S117</f>
        <v xml:space="preserve">   Net Revenue Requirement  (TCOS, ln 117)</v>
      </c>
      <c r="D44" s="308"/>
      <c r="E44" s="308"/>
      <c r="F44" s="302">
        <f>R117</f>
        <v>166029941.50559461</v>
      </c>
      <c r="G44" s="302"/>
      <c r="H44" s="308"/>
      <c r="I44" s="308"/>
      <c r="J44" s="308"/>
      <c r="K44" s="308"/>
      <c r="L44" s="308"/>
      <c r="M44" s="308"/>
      <c r="N44" s="308"/>
      <c r="O44" s="308"/>
      <c r="P44" s="302"/>
      <c r="Q44" s="308"/>
      <c r="R44" s="279"/>
      <c r="S44" s="244"/>
    </row>
    <row r="45" spans="2:19">
      <c r="B45" s="244"/>
      <c r="C45" s="237" t="str">
        <f>S118</f>
        <v xml:space="preserve">   Return  (TCOS, ln 112)</v>
      </c>
      <c r="D45" s="308"/>
      <c r="E45" s="308"/>
      <c r="F45" s="302">
        <f>R118</f>
        <v>77916458.568438277</v>
      </c>
      <c r="G45" s="309"/>
      <c r="H45" s="310"/>
      <c r="I45" s="310"/>
      <c r="J45" s="310"/>
      <c r="K45" s="310"/>
      <c r="L45" s="310"/>
      <c r="M45" s="310"/>
      <c r="N45" s="310"/>
      <c r="O45" s="310"/>
      <c r="P45" s="302"/>
      <c r="Q45" s="310"/>
      <c r="R45" s="279"/>
      <c r="S45" s="244"/>
    </row>
    <row r="46" spans="2:19">
      <c r="B46" s="244"/>
      <c r="C46" s="237" t="str">
        <f>S119</f>
        <v xml:space="preserve">   Income Taxes  (TCOS, ln 111)</v>
      </c>
      <c r="D46" s="308"/>
      <c r="E46" s="308"/>
      <c r="F46" s="302">
        <f>R119</f>
        <v>21824735.979156315</v>
      </c>
      <c r="G46" s="302"/>
      <c r="H46" s="308"/>
      <c r="I46" s="308"/>
      <c r="J46" s="311"/>
      <c r="K46" s="311"/>
      <c r="L46" s="311"/>
      <c r="M46" s="311"/>
      <c r="N46" s="311"/>
      <c r="O46" s="311"/>
      <c r="P46" s="308"/>
      <c r="Q46" s="311"/>
      <c r="R46" s="279"/>
      <c r="S46" s="244"/>
    </row>
    <row r="47" spans="2:19">
      <c r="B47" s="244"/>
      <c r="C47" s="237" t="str">
        <f>S120</f>
        <v xml:space="preserve">  Gross Margin Taxes  (TCOS, ln 116)</v>
      </c>
      <c r="D47" s="308"/>
      <c r="E47" s="308"/>
      <c r="F47" s="313">
        <f>R120</f>
        <v>0</v>
      </c>
      <c r="G47" s="302"/>
      <c r="H47" s="308"/>
      <c r="I47" s="308"/>
      <c r="J47" s="311"/>
      <c r="K47" s="311"/>
      <c r="L47" s="311"/>
      <c r="M47" s="311"/>
      <c r="N47" s="311"/>
      <c r="O47" s="311"/>
      <c r="P47" s="308"/>
      <c r="Q47" s="311"/>
      <c r="R47" s="279"/>
      <c r="S47" s="244"/>
    </row>
    <row r="48" spans="2:19">
      <c r="B48" s="244"/>
      <c r="C48" s="249" t="s">
        <v>25</v>
      </c>
      <c r="D48" s="308"/>
      <c r="E48" s="308"/>
      <c r="F48" s="309">
        <f>F44-F45-F46-F47</f>
        <v>66288746.958000019</v>
      </c>
      <c r="G48" s="309"/>
      <c r="H48" s="314"/>
      <c r="I48" s="308"/>
      <c r="J48" s="314"/>
      <c r="K48" s="314"/>
      <c r="L48" s="314"/>
      <c r="M48" s="314"/>
      <c r="N48" s="314"/>
      <c r="O48" s="314"/>
      <c r="P48" s="314"/>
      <c r="Q48" s="314"/>
      <c r="R48" s="279"/>
      <c r="S48" s="244"/>
    </row>
    <row r="49" spans="2:19">
      <c r="B49" s="244"/>
      <c r="C49" s="312"/>
      <c r="D49" s="308"/>
      <c r="E49" s="308"/>
      <c r="F49" s="302"/>
      <c r="G49" s="302"/>
      <c r="H49" s="315"/>
      <c r="I49" s="316"/>
      <c r="J49" s="316"/>
      <c r="K49" s="316"/>
      <c r="L49" s="316"/>
      <c r="M49" s="316"/>
      <c r="N49" s="316"/>
      <c r="O49" s="316"/>
      <c r="P49" s="316"/>
      <c r="Q49" s="316"/>
      <c r="R49" s="279"/>
      <c r="S49" s="244"/>
    </row>
    <row r="50" spans="2:19" ht="15.75">
      <c r="B50" s="244"/>
      <c r="C50" s="236" t="str">
        <f>"B.   Determine Net Revenue Requirement with hypothetical "&amp;F13&amp;" basis point increase in ROE."</f>
        <v>B.   Determine Net Revenue Requirement with hypothetical 0 basis point increase in ROE.</v>
      </c>
      <c r="D50" s="317"/>
      <c r="E50" s="317"/>
      <c r="F50" s="302"/>
      <c r="G50" s="302"/>
      <c r="H50" s="315"/>
      <c r="I50" s="316"/>
      <c r="J50" s="316"/>
      <c r="K50" s="316"/>
      <c r="L50" s="316"/>
      <c r="M50" s="316"/>
      <c r="N50" s="316"/>
      <c r="O50" s="316"/>
      <c r="P50" s="316"/>
      <c r="Q50" s="316"/>
      <c r="R50" s="279"/>
      <c r="S50" s="244"/>
    </row>
    <row r="51" spans="2:19">
      <c r="B51" s="244"/>
      <c r="C51" s="312"/>
      <c r="D51" s="317"/>
      <c r="E51" s="317"/>
      <c r="F51" s="302"/>
      <c r="G51" s="302"/>
      <c r="H51" s="315"/>
      <c r="I51" s="316"/>
      <c r="J51" s="316"/>
      <c r="K51" s="316"/>
      <c r="L51" s="316"/>
      <c r="M51" s="316"/>
      <c r="N51" s="316"/>
      <c r="O51" s="316"/>
      <c r="P51" s="316"/>
      <c r="Q51" s="316"/>
      <c r="R51" s="279"/>
      <c r="S51" s="244"/>
    </row>
    <row r="52" spans="2:19">
      <c r="B52" s="244"/>
      <c r="C52" s="312" t="str">
        <f>C48</f>
        <v xml:space="preserve">   Net Revenue Requirement, Less Return and Taxes</v>
      </c>
      <c r="D52" s="317"/>
      <c r="E52" s="317"/>
      <c r="F52" s="302">
        <f>F48</f>
        <v>66288746.958000019</v>
      </c>
      <c r="G52" s="302"/>
      <c r="H52" s="308"/>
      <c r="I52" s="308"/>
      <c r="J52" s="308"/>
      <c r="K52" s="308"/>
      <c r="L52" s="308"/>
      <c r="M52" s="308"/>
      <c r="N52" s="308"/>
      <c r="O52" s="308"/>
      <c r="P52" s="320"/>
      <c r="Q52" s="308"/>
      <c r="R52" s="279"/>
      <c r="S52" s="244"/>
    </row>
    <row r="53" spans="2:19">
      <c r="B53" s="244"/>
      <c r="C53" s="243" t="s">
        <v>92</v>
      </c>
      <c r="D53" s="322"/>
      <c r="E53" s="249"/>
      <c r="F53" s="323">
        <f>E26</f>
        <v>77916458.568438277</v>
      </c>
      <c r="G53" s="323"/>
      <c r="H53" s="249"/>
      <c r="I53" s="324"/>
      <c r="J53" s="249"/>
      <c r="K53" s="249"/>
      <c r="L53" s="249"/>
      <c r="M53" s="249"/>
      <c r="N53" s="249"/>
      <c r="O53" s="249"/>
      <c r="P53" s="249"/>
      <c r="Q53" s="249"/>
      <c r="R53" s="279"/>
      <c r="S53" s="244"/>
    </row>
    <row r="54" spans="2:19" ht="12.75" customHeight="1">
      <c r="B54" s="244"/>
      <c r="C54" s="237" t="s">
        <v>26</v>
      </c>
      <c r="D54" s="308"/>
      <c r="E54" s="308"/>
      <c r="F54" s="413">
        <f>E37</f>
        <v>21624525.75632108</v>
      </c>
      <c r="G54" s="325"/>
      <c r="H54" s="244"/>
      <c r="I54" s="326"/>
      <c r="J54" s="244"/>
      <c r="K54" s="279"/>
      <c r="L54" s="244"/>
      <c r="M54" s="244"/>
      <c r="N54" s="244"/>
      <c r="O54" s="244"/>
      <c r="P54" s="244"/>
      <c r="Q54" s="279"/>
      <c r="R54" s="279"/>
      <c r="S54" s="244"/>
    </row>
    <row r="55" spans="2:19">
      <c r="B55" s="244"/>
      <c r="C55" s="249" t="str">
        <f>"   Net Revenue Requirement, with "&amp;F13&amp;" Basis Point ROE increase"</f>
        <v xml:space="preserve">   Net Revenue Requirement, with 0 Basis Point ROE increase</v>
      </c>
      <c r="D55" s="293"/>
      <c r="E55" s="244"/>
      <c r="F55" s="327">
        <f>SUM(F52:F54)</f>
        <v>165829731.28275937</v>
      </c>
      <c r="G55" s="327"/>
      <c r="H55" s="244"/>
      <c r="I55" s="326"/>
      <c r="J55" s="244"/>
      <c r="K55" s="279"/>
      <c r="L55" s="244"/>
      <c r="M55" s="244"/>
      <c r="N55" s="244"/>
      <c r="O55" s="244"/>
      <c r="P55" s="244"/>
      <c r="Q55" s="279"/>
      <c r="R55" s="279"/>
      <c r="S55" s="244"/>
    </row>
    <row r="56" spans="2:19">
      <c r="B56" s="244"/>
      <c r="C56" s="300" t="str">
        <f>"   Gross Margin Tax with "&amp;F13&amp;" Basis Point ROE Increase (II C. below)"</f>
        <v xml:space="preserve">   Gross Margin Tax with 0 Basis Point ROE Increase (II C. below)</v>
      </c>
      <c r="D56" s="328"/>
      <c r="E56" s="328"/>
      <c r="F56" s="329">
        <f>+F71</f>
        <v>0</v>
      </c>
      <c r="G56" s="323"/>
      <c r="H56" s="244"/>
      <c r="I56" s="326"/>
      <c r="J56" s="244"/>
      <c r="K56" s="279"/>
      <c r="L56" s="244"/>
      <c r="M56" s="244"/>
      <c r="N56" s="244"/>
      <c r="O56" s="244"/>
      <c r="P56" s="244"/>
      <c r="Q56" s="279"/>
      <c r="R56" s="279"/>
      <c r="S56" s="244"/>
    </row>
    <row r="57" spans="2:19">
      <c r="B57" s="244"/>
      <c r="C57" s="249" t="s">
        <v>27</v>
      </c>
      <c r="D57" s="293"/>
      <c r="E57" s="244"/>
      <c r="F57" s="299">
        <f>+F55+F56</f>
        <v>165829731.28275937</v>
      </c>
      <c r="G57" s="299"/>
      <c r="H57" s="244"/>
      <c r="I57" s="326"/>
      <c r="J57" s="244"/>
      <c r="K57" s="279"/>
      <c r="L57" s="244"/>
      <c r="M57" s="244"/>
      <c r="N57" s="244"/>
      <c r="O57" s="244"/>
      <c r="P57" s="244"/>
      <c r="Q57" s="279"/>
      <c r="R57" s="279"/>
      <c r="S57" s="244"/>
    </row>
    <row r="58" spans="2:19">
      <c r="B58" s="244"/>
      <c r="C58" s="237" t="str">
        <f>S121</f>
        <v xml:space="preserve">   Less: Depreciation  (TCOS, ln 86)</v>
      </c>
      <c r="D58" s="293"/>
      <c r="E58" s="244"/>
      <c r="F58" s="330">
        <f>R121</f>
        <v>36381754</v>
      </c>
      <c r="G58" s="330"/>
      <c r="H58" s="244"/>
      <c r="I58" s="326"/>
      <c r="J58" s="244"/>
      <c r="K58" s="279"/>
      <c r="L58" s="244"/>
      <c r="M58" s="244"/>
      <c r="N58" s="244"/>
      <c r="O58" s="244"/>
      <c r="P58" s="244"/>
      <c r="Q58" s="279"/>
      <c r="R58" s="279"/>
      <c r="S58" s="244"/>
    </row>
    <row r="59" spans="2:19">
      <c r="B59" s="244"/>
      <c r="C59" s="249" t="str">
        <f>"   Net Rev. Req, w/"&amp;F13&amp;" Basis Point ROE increase, less Depreciation"</f>
        <v xml:space="preserve">   Net Rev. Req, w/0 Basis Point ROE increase, less Depreciation</v>
      </c>
      <c r="D59" s="293"/>
      <c r="E59" s="244"/>
      <c r="F59" s="327">
        <f>F57-F58</f>
        <v>129447977.28275937</v>
      </c>
      <c r="G59" s="327"/>
      <c r="H59" s="244"/>
      <c r="I59" s="326"/>
      <c r="J59" s="244"/>
      <c r="K59" s="279"/>
      <c r="L59" s="244"/>
      <c r="M59" s="244"/>
      <c r="N59" s="244"/>
      <c r="O59" s="244"/>
      <c r="P59" s="244"/>
      <c r="Q59" s="279"/>
      <c r="R59" s="279"/>
      <c r="S59" s="244"/>
    </row>
    <row r="60" spans="2:19">
      <c r="B60" s="244"/>
      <c r="C60" s="244"/>
      <c r="D60" s="293"/>
      <c r="E60" s="244"/>
      <c r="F60" s="244"/>
      <c r="G60" s="244"/>
      <c r="H60" s="244"/>
      <c r="I60" s="326"/>
      <c r="J60" s="244"/>
      <c r="K60" s="279"/>
      <c r="L60" s="244"/>
      <c r="M60" s="244"/>
      <c r="N60" s="244"/>
      <c r="O60" s="244"/>
      <c r="P60" s="244"/>
      <c r="Q60" s="279"/>
      <c r="R60" s="279"/>
      <c r="S60" s="244"/>
    </row>
    <row r="61" spans="2:19" ht="15.75">
      <c r="B61" s="244"/>
      <c r="C61" s="307" t="str">
        <f>"C.   Determine Gross Margin Tax with hypothetical "&amp;F13&amp;" basis point increase in ROE."</f>
        <v>C.   Determine Gross Margin Tax with hypothetical 0 basis point increase in ROE.</v>
      </c>
      <c r="D61" s="331"/>
      <c r="E61" s="331"/>
      <c r="F61" s="332"/>
      <c r="G61" s="332"/>
      <c r="H61" s="245"/>
      <c r="I61" s="326"/>
      <c r="J61" s="244"/>
      <c r="K61" s="279"/>
      <c r="L61" s="244"/>
      <c r="M61" s="244"/>
      <c r="N61" s="244"/>
      <c r="O61" s="244"/>
      <c r="P61" s="244"/>
      <c r="Q61" s="279"/>
      <c r="R61" s="279"/>
      <c r="S61" s="244"/>
    </row>
    <row r="62" spans="2:19">
      <c r="B62" s="244"/>
      <c r="C62" s="300" t="str">
        <f>"   Net Revenue Requirement before Gross Margin Taxes, with "&amp;F13&amp;" "</f>
        <v xml:space="preserve">   Net Revenue Requirement before Gross Margin Taxes, with 0 </v>
      </c>
      <c r="D62" s="331"/>
      <c r="E62" s="331"/>
      <c r="F62" s="332">
        <f>+F55</f>
        <v>165829731.28275937</v>
      </c>
      <c r="G62" s="332"/>
      <c r="H62" s="245"/>
      <c r="I62" s="326"/>
      <c r="J62" s="244"/>
      <c r="K62" s="279"/>
      <c r="L62" s="244"/>
      <c r="M62" s="244"/>
      <c r="N62" s="244"/>
      <c r="O62" s="244"/>
      <c r="P62" s="244"/>
      <c r="Q62" s="279"/>
      <c r="R62" s="279"/>
      <c r="S62" s="244"/>
    </row>
    <row r="63" spans="2:19">
      <c r="B63" s="244"/>
      <c r="C63" s="300" t="s">
        <v>28</v>
      </c>
      <c r="D63" s="331"/>
      <c r="E63" s="331"/>
      <c r="F63" s="332"/>
      <c r="G63" s="332"/>
      <c r="H63" s="245"/>
      <c r="I63" s="326"/>
      <c r="J63" s="244"/>
      <c r="K63" s="279"/>
      <c r="L63" s="244"/>
      <c r="M63" s="244"/>
      <c r="N63" s="244"/>
      <c r="O63" s="244"/>
      <c r="P63" s="244"/>
      <c r="Q63" s="279"/>
      <c r="R63" s="279"/>
      <c r="S63" s="244"/>
    </row>
    <row r="64" spans="2:19">
      <c r="B64" s="244"/>
      <c r="C64" s="249" t="str">
        <f>S120</f>
        <v xml:space="preserve">  Gross Margin Taxes  (TCOS, ln 116)</v>
      </c>
      <c r="D64" s="334"/>
      <c r="E64" s="245"/>
      <c r="F64" s="335">
        <f>R120</f>
        <v>0</v>
      </c>
      <c r="G64" s="414"/>
      <c r="H64" s="245"/>
      <c r="I64" s="326"/>
      <c r="J64" s="244"/>
      <c r="K64" s="279"/>
      <c r="L64" s="244"/>
      <c r="M64" s="244"/>
      <c r="N64" s="244"/>
      <c r="O64" s="244"/>
      <c r="P64" s="244"/>
      <c r="Q64" s="279"/>
      <c r="R64" s="279"/>
      <c r="S64" s="244"/>
    </row>
    <row r="65" spans="2:19">
      <c r="B65" s="244"/>
      <c r="C65" s="249" t="s">
        <v>29</v>
      </c>
      <c r="D65" s="334"/>
      <c r="E65" s="245"/>
      <c r="F65" s="332">
        <f>+F64*F62</f>
        <v>0</v>
      </c>
      <c r="G65" s="332"/>
      <c r="H65" s="245"/>
      <c r="I65" s="326"/>
      <c r="J65" s="244"/>
      <c r="K65" s="279"/>
      <c r="L65" s="244"/>
      <c r="M65" s="244"/>
      <c r="N65" s="244"/>
      <c r="O65" s="244"/>
      <c r="P65" s="244"/>
      <c r="Q65" s="279"/>
      <c r="R65" s="279"/>
      <c r="S65" s="244"/>
    </row>
    <row r="66" spans="2:19">
      <c r="B66" s="244"/>
      <c r="C66" s="249" t="str">
        <f>+'OKT.WS.F.BPU.ATRR.Projected'!C64</f>
        <v xml:space="preserve">       Taxable Percentage of Revenue (22%)</v>
      </c>
      <c r="D66" s="334"/>
      <c r="E66" s="245"/>
      <c r="F66" s="336">
        <f>+'OKT.WS.F.BPU.ATRR.Projected'!F64</f>
        <v>0.22</v>
      </c>
      <c r="G66" s="415"/>
      <c r="H66" s="245"/>
      <c r="I66" s="326"/>
      <c r="J66" s="244"/>
      <c r="K66" s="279"/>
      <c r="L66" s="244"/>
      <c r="M66" s="244"/>
      <c r="N66" s="244"/>
      <c r="O66" s="244"/>
      <c r="P66" s="244"/>
      <c r="Q66" s="279"/>
      <c r="R66" s="279"/>
      <c r="S66" s="244"/>
    </row>
    <row r="67" spans="2:19">
      <c r="B67" s="244"/>
      <c r="C67" s="249" t="s">
        <v>30</v>
      </c>
      <c r="D67" s="334"/>
      <c r="E67" s="245"/>
      <c r="F67" s="332">
        <f>+F65*F66</f>
        <v>0</v>
      </c>
      <c r="G67" s="332"/>
      <c r="H67" s="245"/>
      <c r="I67" s="326"/>
      <c r="J67" s="244"/>
      <c r="K67" s="279"/>
      <c r="L67" s="244"/>
      <c r="M67" s="244"/>
      <c r="N67" s="244"/>
      <c r="O67" s="244"/>
      <c r="P67" s="244"/>
      <c r="Q67" s="279"/>
      <c r="R67" s="279"/>
      <c r="S67" s="244"/>
    </row>
    <row r="68" spans="2:19">
      <c r="B68" s="244"/>
      <c r="C68" s="249" t="s">
        <v>31</v>
      </c>
      <c r="D68" s="334"/>
      <c r="E68" s="245"/>
      <c r="F68" s="336">
        <v>0.01</v>
      </c>
      <c r="G68" s="415"/>
      <c r="H68" s="245"/>
      <c r="I68" s="326"/>
      <c r="J68" s="244"/>
      <c r="K68" s="279"/>
      <c r="L68" s="244"/>
      <c r="M68" s="244"/>
      <c r="N68" s="244"/>
      <c r="O68" s="244"/>
      <c r="P68" s="244"/>
      <c r="Q68" s="279"/>
      <c r="R68" s="279"/>
      <c r="S68" s="244"/>
    </row>
    <row r="69" spans="2:19">
      <c r="B69" s="244"/>
      <c r="C69" s="249" t="s">
        <v>32</v>
      </c>
      <c r="D69" s="334"/>
      <c r="E69" s="245"/>
      <c r="F69" s="332">
        <f>+F67*F68</f>
        <v>0</v>
      </c>
      <c r="G69" s="332"/>
      <c r="H69" s="245"/>
      <c r="I69" s="326"/>
      <c r="J69" s="244"/>
      <c r="K69" s="279"/>
      <c r="L69" s="244"/>
      <c r="M69" s="244"/>
      <c r="N69" s="244"/>
      <c r="O69" s="244"/>
      <c r="P69" s="244"/>
      <c r="Q69" s="279"/>
      <c r="R69" s="279"/>
      <c r="S69" s="244"/>
    </row>
    <row r="70" spans="2:19">
      <c r="B70" s="244"/>
      <c r="C70" s="249" t="s">
        <v>33</v>
      </c>
      <c r="D70" s="334"/>
      <c r="E70" s="245"/>
      <c r="F70" s="337">
        <f>+ROUND((F69*F66*F64)/(1-F68)*F68,0)</f>
        <v>0</v>
      </c>
      <c r="G70" s="416"/>
      <c r="H70" s="245"/>
      <c r="I70" s="326"/>
      <c r="J70" s="244"/>
      <c r="K70" s="279"/>
      <c r="L70" s="244"/>
      <c r="M70" s="244"/>
      <c r="N70" s="244"/>
      <c r="O70" s="244"/>
      <c r="P70" s="244"/>
      <c r="Q70" s="279"/>
      <c r="R70" s="279"/>
      <c r="S70" s="244"/>
    </row>
    <row r="71" spans="2:19">
      <c r="B71" s="244"/>
      <c r="C71" s="249" t="s">
        <v>34</v>
      </c>
      <c r="D71" s="334"/>
      <c r="E71" s="245"/>
      <c r="F71" s="332">
        <f>+F69+F70</f>
        <v>0</v>
      </c>
      <c r="G71" s="332"/>
      <c r="H71" s="245"/>
      <c r="I71" s="326"/>
      <c r="J71" s="244"/>
      <c r="K71" s="279"/>
      <c r="L71" s="244"/>
      <c r="M71" s="244"/>
      <c r="N71" s="244"/>
      <c r="O71" s="244"/>
      <c r="P71" s="244"/>
      <c r="Q71" s="279"/>
      <c r="R71" s="279"/>
      <c r="S71" s="244"/>
    </row>
    <row r="72" spans="2:19">
      <c r="B72" s="244"/>
      <c r="C72" s="244"/>
      <c r="D72" s="293"/>
      <c r="E72" s="244"/>
      <c r="F72" s="244"/>
      <c r="G72" s="244"/>
      <c r="H72" s="244"/>
      <c r="I72" s="326"/>
      <c r="J72" s="244"/>
      <c r="K72" s="279"/>
      <c r="L72" s="244"/>
      <c r="M72" s="244"/>
      <c r="N72" s="244"/>
      <c r="O72" s="244"/>
      <c r="P72" s="244"/>
      <c r="Q72" s="279"/>
      <c r="R72" s="279"/>
      <c r="S72" s="244"/>
    </row>
    <row r="73" spans="2:19" ht="15.75">
      <c r="B73" s="244"/>
      <c r="C73" s="236" t="str">
        <f>"D.   Determine FCR with hypothetical "&amp;F13&amp;" basis point ROE increase."</f>
        <v>D.   Determine FCR with hypothetical 0 basis point ROE increase.</v>
      </c>
      <c r="D73" s="293"/>
      <c r="E73" s="244"/>
      <c r="F73" s="244"/>
      <c r="G73" s="244"/>
      <c r="H73" s="244"/>
      <c r="I73" s="213"/>
      <c r="J73" s="244"/>
      <c r="K73" s="279"/>
      <c r="L73" s="244"/>
      <c r="M73" s="244"/>
      <c r="N73" s="244"/>
      <c r="O73" s="244"/>
      <c r="P73" s="244"/>
      <c r="Q73" s="279"/>
      <c r="R73" s="279"/>
      <c r="S73" s="244"/>
    </row>
    <row r="74" spans="2:19">
      <c r="B74" s="244"/>
      <c r="C74" s="244"/>
      <c r="D74" s="293"/>
      <c r="E74" s="244"/>
      <c r="F74" s="244"/>
      <c r="G74" s="244"/>
      <c r="H74" s="244"/>
      <c r="I74" s="326"/>
      <c r="J74" s="244"/>
      <c r="K74" s="279"/>
      <c r="L74" s="244"/>
      <c r="M74" s="244"/>
      <c r="N74" s="244"/>
      <c r="O74" s="244"/>
      <c r="P74" s="244"/>
      <c r="Q74" s="279"/>
      <c r="R74" s="279"/>
      <c r="S74" s="244"/>
    </row>
    <row r="75" spans="2:19">
      <c r="B75" s="244"/>
      <c r="C75" s="312" t="str">
        <f>S123</f>
        <v xml:space="preserve">   Net Transmission Plant  (TCOS, ln 37)</v>
      </c>
      <c r="D75" s="293"/>
      <c r="E75" s="244"/>
      <c r="F75" s="327">
        <f>R123</f>
        <v>1099067268</v>
      </c>
      <c r="G75" s="327"/>
      <c r="I75" s="213"/>
      <c r="J75" s="244"/>
      <c r="K75" s="279"/>
      <c r="L75" s="244"/>
      <c r="M75" s="244"/>
      <c r="N75" s="244"/>
      <c r="O75" s="244"/>
      <c r="P75" s="244"/>
      <c r="Q75" s="279"/>
      <c r="R75" s="279"/>
      <c r="S75" s="244"/>
    </row>
    <row r="76" spans="2:19" ht="15">
      <c r="B76" s="244"/>
      <c r="C76" s="249" t="str">
        <f>"   Net Revenue Requirement, with "&amp;F13&amp;" Basis Point ROE increase"</f>
        <v xml:space="preserve">   Net Revenue Requirement, with 0 Basis Point ROE increase</v>
      </c>
      <c r="D76" s="293"/>
      <c r="E76" s="244"/>
      <c r="F76" s="417">
        <f>+F57</f>
        <v>165829731.28275937</v>
      </c>
      <c r="G76" s="417"/>
      <c r="I76" s="213"/>
      <c r="J76" s="244"/>
      <c r="K76" s="279"/>
      <c r="L76" s="244"/>
      <c r="M76" s="244"/>
      <c r="N76" s="244"/>
      <c r="O76" s="244"/>
      <c r="P76" s="244"/>
      <c r="Q76" s="279"/>
      <c r="R76" s="279"/>
      <c r="S76" s="244"/>
    </row>
    <row r="77" spans="2:19">
      <c r="B77" s="244"/>
      <c r="C77" s="249" t="str">
        <f>"   FCR with "&amp;F13&amp;" Basis Point increase in ROE"</f>
        <v xml:space="preserve">   FCR with 0 Basis Point increase in ROE</v>
      </c>
      <c r="D77" s="293"/>
      <c r="E77" s="244"/>
      <c r="F77" s="340">
        <f>IF(F75=0,0,F76/F75)</f>
        <v>0.15088223997838079</v>
      </c>
      <c r="G77" s="340"/>
      <c r="I77" s="213"/>
      <c r="J77" s="244"/>
      <c r="K77" s="279"/>
      <c r="L77" s="244"/>
      <c r="M77" s="244"/>
      <c r="N77" s="244"/>
      <c r="O77" s="244"/>
      <c r="P77" s="244"/>
      <c r="Q77" s="279"/>
      <c r="R77" s="279"/>
      <c r="S77" s="244"/>
    </row>
    <row r="78" spans="2:19">
      <c r="B78" s="244"/>
      <c r="D78" s="293"/>
      <c r="E78" s="244"/>
      <c r="F78" s="245"/>
      <c r="G78" s="245"/>
      <c r="H78" s="418"/>
      <c r="I78" s="213"/>
      <c r="J78" s="244"/>
      <c r="K78" s="279"/>
      <c r="L78" s="244"/>
      <c r="M78" s="244"/>
      <c r="N78" s="244"/>
      <c r="O78" s="244"/>
      <c r="P78" s="244"/>
      <c r="Q78" s="279"/>
      <c r="R78" s="279"/>
      <c r="S78" s="244"/>
    </row>
    <row r="79" spans="2:19">
      <c r="B79" s="244"/>
      <c r="C79" s="249" t="str">
        <f>"   Net Rev. Req, w / "&amp;F13&amp;" Basis Point ROE increase, less Dep."</f>
        <v xml:space="preserve">   Net Rev. Req, w / 0 Basis Point ROE increase, less Dep.</v>
      </c>
      <c r="D79" s="293"/>
      <c r="E79" s="244"/>
      <c r="F79" s="327">
        <f>+F59</f>
        <v>129447977.28275937</v>
      </c>
      <c r="G79" s="327"/>
      <c r="I79" s="213"/>
      <c r="J79" s="244"/>
      <c r="K79" s="279"/>
      <c r="L79" s="244"/>
      <c r="M79" s="244"/>
      <c r="N79" s="244"/>
      <c r="O79" s="244"/>
      <c r="P79" s="244"/>
      <c r="Q79" s="279"/>
      <c r="R79" s="279"/>
      <c r="S79" s="244"/>
    </row>
    <row r="80" spans="2:19">
      <c r="B80" s="244"/>
      <c r="C80" s="249" t="str">
        <f>"   FCR with "&amp;F13&amp;" Basis Point ROE increase, less Depreciation"</f>
        <v xml:space="preserve">   FCR with 0 Basis Point ROE increase, less Depreciation</v>
      </c>
      <c r="D80" s="293"/>
      <c r="E80" s="244"/>
      <c r="F80" s="340">
        <f>IF(F75=0,0,F79/F75)</f>
        <v>0.11777984937930057</v>
      </c>
      <c r="G80" s="340"/>
      <c r="H80" s="338"/>
      <c r="I80" s="213"/>
      <c r="J80" s="244"/>
      <c r="K80" s="279"/>
      <c r="L80" s="244"/>
      <c r="M80" s="244"/>
      <c r="N80" s="244"/>
      <c r="O80" s="244"/>
      <c r="P80" s="244"/>
      <c r="Q80" s="279"/>
      <c r="R80" s="279"/>
      <c r="S80" s="244"/>
    </row>
    <row r="81" spans="2:19">
      <c r="B81" s="244"/>
      <c r="C81" s="312" t="str">
        <f>S124</f>
        <v xml:space="preserve">   FCR less Depreciation  (TCOS, ln 10)</v>
      </c>
      <c r="D81" s="293"/>
      <c r="E81" s="244"/>
      <c r="F81" s="341">
        <f>R124</f>
        <v>0.11796201313639214</v>
      </c>
      <c r="G81" s="341"/>
      <c r="H81" s="419"/>
      <c r="I81" s="213"/>
      <c r="J81" s="244"/>
      <c r="K81" s="279"/>
      <c r="L81" s="244"/>
      <c r="M81" s="244"/>
      <c r="N81" s="244"/>
      <c r="O81" s="244"/>
      <c r="P81" s="244"/>
      <c r="Q81" s="279"/>
      <c r="R81" s="279"/>
      <c r="S81" s="244"/>
    </row>
    <row r="82" spans="2:19">
      <c r="B82" s="244"/>
      <c r="C82" s="249" t="str">
        <f>"   Incremental FCR with "&amp;F13&amp;" Basis Point ROE increase, less Depreciation"</f>
        <v xml:space="preserve">   Incremental FCR with 0 Basis Point ROE increase, less Depreciation</v>
      </c>
      <c r="D82" s="293"/>
      <c r="E82" s="244"/>
      <c r="F82" s="340">
        <f>F80-F81</f>
        <v>-1.8216375709156907E-4</v>
      </c>
      <c r="G82" s="340"/>
      <c r="I82" s="213"/>
      <c r="J82" s="244"/>
      <c r="K82" s="279"/>
      <c r="L82" s="244"/>
      <c r="M82" s="244"/>
      <c r="N82" s="244"/>
      <c r="O82" s="244"/>
      <c r="P82" s="244"/>
      <c r="Q82" s="279"/>
      <c r="R82" s="279"/>
      <c r="S82" s="244"/>
    </row>
    <row r="83" spans="2:19">
      <c r="B83" s="244"/>
      <c r="C83" s="249"/>
      <c r="D83" s="293"/>
      <c r="E83" s="244"/>
      <c r="F83" s="340"/>
      <c r="G83" s="340"/>
      <c r="H83" s="244"/>
      <c r="I83" s="326"/>
      <c r="J83" s="244"/>
      <c r="K83" s="279"/>
      <c r="L83" s="244"/>
      <c r="M83" s="244"/>
      <c r="N83" s="244"/>
      <c r="O83" s="244"/>
      <c r="P83" s="244"/>
      <c r="Q83" s="279"/>
      <c r="R83" s="279"/>
      <c r="S83" s="244"/>
    </row>
    <row r="84" spans="2:19" ht="18.75">
      <c r="B84" s="234" t="s">
        <v>35</v>
      </c>
      <c r="C84" s="306" t="s">
        <v>36</v>
      </c>
      <c r="D84" s="293"/>
      <c r="E84" s="244"/>
      <c r="F84" s="340"/>
      <c r="G84" s="340"/>
      <c r="H84" s="244"/>
      <c r="I84" s="326"/>
      <c r="J84" s="244"/>
      <c r="K84" s="279"/>
      <c r="L84" s="244"/>
      <c r="M84" s="244"/>
      <c r="N84" s="244"/>
      <c r="O84" s="244"/>
      <c r="P84" s="244"/>
      <c r="Q84" s="279"/>
      <c r="R84" s="279"/>
      <c r="S84" s="244"/>
    </row>
    <row r="85" spans="2:19" ht="12.75" customHeight="1">
      <c r="B85" s="234"/>
      <c r="C85" s="306"/>
      <c r="D85" s="293"/>
      <c r="E85" s="244"/>
      <c r="F85" s="340"/>
      <c r="G85" s="340"/>
      <c r="H85" s="244"/>
      <c r="I85" s="326"/>
      <c r="J85" s="244"/>
      <c r="K85" s="279"/>
      <c r="L85" s="244"/>
      <c r="M85" s="244"/>
      <c r="N85" s="244"/>
      <c r="O85" s="244"/>
      <c r="P85" s="244"/>
      <c r="Q85" s="279"/>
      <c r="R85" s="279"/>
      <c r="S85" s="244"/>
    </row>
    <row r="86" spans="2:19" ht="12.75" customHeight="1">
      <c r="B86" s="234"/>
      <c r="C86" s="249" t="s">
        <v>37</v>
      </c>
      <c r="D86" s="293"/>
      <c r="F86" s="420">
        <v>849082429</v>
      </c>
      <c r="G86" s="244" t="s">
        <v>241</v>
      </c>
      <c r="I86" s="652" t="s">
        <v>259</v>
      </c>
      <c r="J86" s="652"/>
      <c r="K86" s="652"/>
      <c r="L86" s="652"/>
      <c r="M86" s="652"/>
      <c r="N86" s="652"/>
      <c r="O86" s="244"/>
      <c r="P86" s="244"/>
      <c r="Q86" s="279"/>
      <c r="R86" s="279"/>
      <c r="S86" s="244"/>
    </row>
    <row r="87" spans="2:19" ht="12.75" customHeight="1">
      <c r="B87" s="234"/>
      <c r="C87" s="249" t="s">
        <v>38</v>
      </c>
      <c r="D87" s="293"/>
      <c r="F87" s="421">
        <v>958546907</v>
      </c>
      <c r="G87" s="244" t="s">
        <v>241</v>
      </c>
      <c r="I87" s="652"/>
      <c r="J87" s="652"/>
      <c r="K87" s="652"/>
      <c r="L87" s="652"/>
      <c r="M87" s="652"/>
      <c r="N87" s="652"/>
      <c r="O87" s="244"/>
      <c r="P87" s="244"/>
      <c r="Q87" s="279"/>
      <c r="R87" s="279"/>
      <c r="S87" s="244"/>
    </row>
    <row r="88" spans="2:19" ht="12.75" customHeight="1">
      <c r="B88" s="234"/>
      <c r="C88" s="249"/>
      <c r="D88" s="293"/>
      <c r="F88" s="333">
        <f>SUM(F86:F87)</f>
        <v>1807629336</v>
      </c>
      <c r="G88" s="326"/>
      <c r="H88" s="244"/>
      <c r="I88" s="652"/>
      <c r="J88" s="652"/>
      <c r="K88" s="652"/>
      <c r="L88" s="652"/>
      <c r="M88" s="652"/>
      <c r="N88" s="652"/>
      <c r="O88" s="244"/>
      <c r="P88" s="244"/>
      <c r="Q88" s="279"/>
      <c r="R88" s="279"/>
      <c r="S88" s="244"/>
    </row>
    <row r="89" spans="2:19">
      <c r="B89" s="244"/>
      <c r="C89" s="249" t="str">
        <f>+S125</f>
        <v>Transmission Plant @ Beginning of Period (P.206, ln 58)</v>
      </c>
      <c r="D89" s="334"/>
      <c r="E89" s="152"/>
      <c r="F89" s="343">
        <f>+F88/2</f>
        <v>903814668</v>
      </c>
      <c r="G89" s="324"/>
      <c r="I89" s="652"/>
      <c r="J89" s="652"/>
      <c r="K89" s="652"/>
      <c r="L89" s="652"/>
      <c r="M89" s="652"/>
      <c r="N89" s="652"/>
      <c r="O89" s="244"/>
      <c r="P89" s="244"/>
      <c r="Q89" s="279"/>
      <c r="R89" s="279"/>
      <c r="S89" s="244"/>
    </row>
    <row r="90" spans="2:19">
      <c r="B90" s="244"/>
      <c r="C90" s="237" t="str">
        <f>S128</f>
        <v>Annual Depreciation Expense  (TCOS, ln 86)</v>
      </c>
      <c r="D90" s="334"/>
      <c r="E90" s="245"/>
      <c r="F90" s="343">
        <f>R128</f>
        <v>36381754</v>
      </c>
      <c r="G90" s="324"/>
      <c r="I90" s="652"/>
      <c r="J90" s="652"/>
      <c r="K90" s="652"/>
      <c r="L90" s="652"/>
      <c r="M90" s="652"/>
      <c r="N90" s="652"/>
      <c r="O90" s="244"/>
      <c r="P90" s="244"/>
      <c r="Q90" s="279"/>
      <c r="R90" s="279"/>
      <c r="S90" s="244"/>
    </row>
    <row r="91" spans="2:19">
      <c r="B91" s="244"/>
      <c r="C91" s="249" t="s">
        <v>39</v>
      </c>
      <c r="D91" s="293"/>
      <c r="E91" s="244"/>
      <c r="F91" s="345">
        <f>F90/F89</f>
        <v>4.0253555610584538E-2</v>
      </c>
      <c r="G91" s="340"/>
      <c r="H91" s="244"/>
      <c r="I91" s="652"/>
      <c r="J91" s="652"/>
      <c r="K91" s="652"/>
      <c r="L91" s="652"/>
      <c r="M91" s="652"/>
      <c r="N91" s="652"/>
      <c r="O91" s="244"/>
      <c r="P91" s="244"/>
      <c r="Q91" s="279"/>
      <c r="R91" s="279"/>
      <c r="S91" s="244"/>
    </row>
    <row r="92" spans="2:19">
      <c r="B92" s="244"/>
      <c r="C92" s="249" t="s">
        <v>40</v>
      </c>
      <c r="D92" s="293"/>
      <c r="E92" s="244"/>
      <c r="F92" s="347">
        <f>IF(F91=0,0,1/F91)</f>
        <v>24.842525954081268</v>
      </c>
      <c r="G92" s="347"/>
      <c r="H92" s="244"/>
      <c r="I92" s="326"/>
      <c r="J92" s="244"/>
      <c r="K92" s="279"/>
      <c r="L92" s="244"/>
      <c r="M92" s="244"/>
      <c r="N92" s="244"/>
      <c r="O92" s="244"/>
      <c r="P92" s="244"/>
      <c r="Q92" s="279"/>
      <c r="R92" s="279"/>
      <c r="S92" s="244"/>
    </row>
    <row r="93" spans="2:19">
      <c r="B93" s="244"/>
      <c r="C93" s="249" t="s">
        <v>41</v>
      </c>
      <c r="D93" s="293"/>
      <c r="E93" s="244"/>
      <c r="F93" s="348">
        <f>ROUND(F92,0)</f>
        <v>25</v>
      </c>
      <c r="G93" s="348"/>
      <c r="H93" s="244"/>
      <c r="I93" s="326"/>
      <c r="J93" s="244"/>
      <c r="K93" s="279"/>
      <c r="L93" s="244"/>
      <c r="M93" s="244"/>
      <c r="N93" s="244"/>
      <c r="O93" s="244"/>
      <c r="P93" s="244"/>
      <c r="Q93" s="279"/>
      <c r="R93" s="279"/>
      <c r="S93" s="244"/>
    </row>
    <row r="94" spans="2:19">
      <c r="B94" s="244"/>
      <c r="C94" s="249"/>
      <c r="D94" s="293"/>
      <c r="E94" s="244"/>
      <c r="F94" s="348"/>
      <c r="G94" s="348"/>
      <c r="H94" s="244"/>
      <c r="I94" s="326"/>
      <c r="J94" s="244"/>
      <c r="K94" s="279"/>
      <c r="L94" s="244"/>
      <c r="M94" s="244"/>
      <c r="N94" s="244"/>
      <c r="O94" s="244"/>
      <c r="P94" s="244"/>
      <c r="Q94" s="279"/>
      <c r="R94" s="279"/>
      <c r="S94" s="244"/>
    </row>
    <row r="95" spans="2:19">
      <c r="B95" s="244"/>
      <c r="C95" s="249"/>
      <c r="D95" s="293"/>
      <c r="E95" s="244"/>
      <c r="F95" s="348"/>
      <c r="G95" s="348"/>
      <c r="H95" s="244"/>
      <c r="I95" s="326"/>
      <c r="J95" s="244"/>
      <c r="K95" s="279"/>
      <c r="L95" s="244"/>
      <c r="M95" s="244"/>
      <c r="N95" s="244"/>
      <c r="O95" s="244"/>
      <c r="P95" s="244"/>
      <c r="Q95" s="279"/>
      <c r="R95" s="279"/>
      <c r="S95" s="244"/>
    </row>
    <row r="96" spans="2:19">
      <c r="B96" s="244"/>
      <c r="C96" s="249"/>
      <c r="D96" s="293"/>
      <c r="E96" s="244"/>
      <c r="F96" s="348"/>
      <c r="G96" s="348"/>
      <c r="H96" s="244"/>
      <c r="I96" s="326"/>
      <c r="J96" s="244"/>
      <c r="K96" s="279"/>
      <c r="L96" s="244"/>
      <c r="M96" s="244"/>
      <c r="N96" s="244"/>
      <c r="O96" s="244"/>
      <c r="P96" s="244"/>
      <c r="Q96" s="279"/>
      <c r="R96" s="279"/>
      <c r="S96" s="244"/>
    </row>
    <row r="97" spans="3:19">
      <c r="C97" s="244"/>
      <c r="D97" s="293"/>
      <c r="E97" s="244"/>
      <c r="F97" s="244"/>
      <c r="G97" s="244"/>
      <c r="H97" s="244"/>
      <c r="I97" s="326"/>
      <c r="J97" s="244"/>
      <c r="K97" s="279"/>
      <c r="L97" s="244"/>
      <c r="M97" s="244"/>
      <c r="N97" s="244"/>
      <c r="O97" s="244"/>
      <c r="P97" s="244"/>
      <c r="Q97" s="279"/>
      <c r="R97" s="352" t="s">
        <v>111</v>
      </c>
      <c r="S97" s="353" t="s">
        <v>117</v>
      </c>
    </row>
    <row r="98" spans="3:19">
      <c r="C98" s="244"/>
      <c r="D98" s="293"/>
      <c r="E98" s="244"/>
      <c r="F98" s="244"/>
      <c r="G98" s="244"/>
      <c r="H98" s="244"/>
      <c r="I98" s="326"/>
      <c r="J98" s="244"/>
      <c r="K98" s="279"/>
      <c r="L98" s="244"/>
      <c r="M98" s="244"/>
      <c r="N98" s="244"/>
      <c r="O98" s="244"/>
      <c r="P98" s="244"/>
      <c r="Q98" s="279"/>
    </row>
    <row r="99" spans="3:19">
      <c r="C99" s="233" t="s">
        <v>108</v>
      </c>
      <c r="J99" s="221"/>
      <c r="L99" s="233" t="s">
        <v>107</v>
      </c>
      <c r="N99" s="244"/>
      <c r="O99" s="244"/>
      <c r="P99" s="244"/>
      <c r="Q99" s="279"/>
    </row>
    <row r="100" spans="3:19">
      <c r="C100" s="244"/>
      <c r="D100" s="293"/>
      <c r="E100" s="244"/>
      <c r="F100" s="244"/>
      <c r="G100" s="244"/>
      <c r="H100" s="244"/>
      <c r="I100" s="326"/>
      <c r="J100" s="244"/>
      <c r="K100" s="279"/>
      <c r="L100" s="244"/>
      <c r="M100" s="244"/>
      <c r="N100" s="244"/>
      <c r="O100" s="244"/>
      <c r="P100" s="244"/>
      <c r="Q100" s="279"/>
      <c r="S100" s="353" t="s">
        <v>105</v>
      </c>
    </row>
    <row r="101" spans="3:19">
      <c r="C101" s="244"/>
      <c r="D101" s="293"/>
      <c r="E101" s="244"/>
      <c r="F101" s="244"/>
      <c r="G101" s="244"/>
      <c r="H101" s="244"/>
      <c r="I101" s="326"/>
      <c r="J101" s="244"/>
      <c r="K101" s="279"/>
      <c r="L101" s="244"/>
      <c r="M101" s="244"/>
      <c r="N101" s="244"/>
      <c r="O101" s="244"/>
      <c r="P101" s="244"/>
      <c r="Q101" s="279"/>
      <c r="R101" s="352" t="s">
        <v>102</v>
      </c>
      <c r="S101" s="201" t="s">
        <v>119</v>
      </c>
    </row>
    <row r="102" spans="3:19" ht="13.5" thickBot="1">
      <c r="C102" s="244"/>
      <c r="D102" s="293"/>
      <c r="E102" s="244"/>
      <c r="F102" s="244"/>
      <c r="G102" s="244"/>
      <c r="H102" s="244"/>
      <c r="I102" s="326"/>
      <c r="J102" s="244"/>
      <c r="K102" s="279"/>
      <c r="L102" s="244"/>
      <c r="M102" s="244"/>
      <c r="N102" s="244"/>
      <c r="O102" s="244"/>
      <c r="Q102" s="279"/>
      <c r="R102" s="354" t="s">
        <v>186</v>
      </c>
    </row>
    <row r="103" spans="3:19">
      <c r="C103" s="244"/>
      <c r="D103" s="293"/>
      <c r="E103" s="244"/>
      <c r="F103" s="244"/>
      <c r="G103" s="244"/>
      <c r="H103" s="244"/>
      <c r="I103" s="326"/>
      <c r="J103" s="244"/>
      <c r="K103" s="279"/>
      <c r="L103" s="244"/>
      <c r="M103" s="244"/>
      <c r="N103" s="244"/>
      <c r="O103" s="244"/>
      <c r="Q103" s="279"/>
      <c r="R103" s="422" t="s">
        <v>178</v>
      </c>
      <c r="S103" s="423" t="s">
        <v>127</v>
      </c>
    </row>
    <row r="104" spans="3:19">
      <c r="C104" s="244"/>
      <c r="D104" s="293"/>
      <c r="E104" s="244"/>
      <c r="F104" s="244"/>
      <c r="G104" s="244"/>
      <c r="H104" s="244"/>
      <c r="I104" s="326"/>
      <c r="J104" s="244"/>
      <c r="K104" s="279"/>
      <c r="L104" s="244"/>
      <c r="M104" s="244"/>
      <c r="N104" s="244"/>
      <c r="O104" s="244"/>
      <c r="Q104" s="279"/>
      <c r="R104" s="357">
        <v>2021</v>
      </c>
      <c r="S104" s="424" t="s">
        <v>84</v>
      </c>
    </row>
    <row r="105" spans="3:19">
      <c r="C105" s="244"/>
      <c r="D105" s="293"/>
      <c r="E105" s="244"/>
      <c r="F105" s="244"/>
      <c r="G105" s="244"/>
      <c r="H105" s="244"/>
      <c r="I105" s="326"/>
      <c r="J105" s="244"/>
      <c r="K105" s="279"/>
      <c r="L105" s="244"/>
      <c r="M105" s="244"/>
      <c r="N105" s="244"/>
      <c r="O105" s="244"/>
      <c r="Q105" s="279"/>
      <c r="R105" s="425">
        <v>0.105</v>
      </c>
      <c r="S105" s="424" t="s">
        <v>271</v>
      </c>
    </row>
    <row r="106" spans="3:19">
      <c r="C106" s="244"/>
      <c r="D106" s="293"/>
      <c r="E106" s="244"/>
      <c r="F106" s="244"/>
      <c r="G106" s="244"/>
      <c r="H106" s="244"/>
      <c r="I106" s="326"/>
      <c r="J106" s="244"/>
      <c r="K106" s="279"/>
      <c r="L106" s="244"/>
      <c r="M106" s="244"/>
      <c r="N106" s="244"/>
      <c r="O106" s="244"/>
      <c r="Q106" s="279"/>
      <c r="R106" s="426">
        <v>0</v>
      </c>
      <c r="S106" s="424" t="s">
        <v>1</v>
      </c>
    </row>
    <row r="107" spans="3:19">
      <c r="C107" s="244"/>
      <c r="D107" s="293"/>
      <c r="E107" s="244"/>
      <c r="F107" s="244"/>
      <c r="G107" s="244"/>
      <c r="H107" s="244"/>
      <c r="I107" s="326"/>
      <c r="J107" s="244"/>
      <c r="K107" s="279"/>
      <c r="L107" s="244"/>
      <c r="M107" s="244"/>
      <c r="N107" s="244"/>
      <c r="O107" s="244"/>
      <c r="Q107" s="279"/>
      <c r="R107" s="425">
        <v>0.44882270094833293</v>
      </c>
      <c r="S107" s="427" t="s">
        <v>97</v>
      </c>
    </row>
    <row r="108" spans="3:19">
      <c r="C108" s="244"/>
      <c r="D108" s="293"/>
      <c r="E108" s="244"/>
      <c r="F108" s="244"/>
      <c r="G108" s="244"/>
      <c r="H108" s="244"/>
      <c r="I108" s="326"/>
      <c r="J108" s="244"/>
      <c r="K108" s="279"/>
      <c r="L108" s="244"/>
      <c r="M108" s="244"/>
      <c r="N108" s="244"/>
      <c r="O108" s="244"/>
      <c r="Q108" s="279"/>
      <c r="R108" s="428">
        <v>4.0521037666801957E-2</v>
      </c>
      <c r="S108" s="427" t="s">
        <v>98</v>
      </c>
    </row>
    <row r="109" spans="3:19">
      <c r="C109" s="244"/>
      <c r="D109" s="293"/>
      <c r="E109" s="244"/>
      <c r="F109" s="244"/>
      <c r="G109" s="244"/>
      <c r="H109" s="244"/>
      <c r="I109" s="326"/>
      <c r="J109" s="244"/>
      <c r="K109" s="279"/>
      <c r="L109" s="244"/>
      <c r="M109" s="244"/>
      <c r="N109" s="244"/>
      <c r="O109" s="244"/>
      <c r="Q109" s="279"/>
      <c r="R109" s="425">
        <v>0</v>
      </c>
      <c r="S109" s="427" t="s">
        <v>99</v>
      </c>
    </row>
    <row r="110" spans="3:19">
      <c r="C110" s="244"/>
      <c r="D110" s="293"/>
      <c r="E110" s="244"/>
      <c r="F110" s="244"/>
      <c r="G110" s="244"/>
      <c r="H110" s="244"/>
      <c r="I110" s="326"/>
      <c r="J110" s="244"/>
      <c r="K110" s="279"/>
      <c r="L110" s="244"/>
      <c r="M110" s="244"/>
      <c r="N110" s="244"/>
      <c r="O110" s="244"/>
      <c r="Q110" s="279"/>
      <c r="R110" s="428">
        <v>0</v>
      </c>
      <c r="S110" s="427" t="s">
        <v>100</v>
      </c>
    </row>
    <row r="111" spans="3:19">
      <c r="C111" s="244"/>
      <c r="D111" s="293"/>
      <c r="E111" s="244"/>
      <c r="F111" s="244"/>
      <c r="G111" s="244"/>
      <c r="H111" s="244"/>
      <c r="I111" s="326"/>
      <c r="J111" s="244"/>
      <c r="K111" s="279"/>
      <c r="L111" s="244"/>
      <c r="M111" s="244"/>
      <c r="N111" s="244"/>
      <c r="O111" s="244"/>
      <c r="Q111" s="279"/>
      <c r="R111" s="425">
        <v>0.55117729905166701</v>
      </c>
      <c r="S111" s="429" t="s">
        <v>101</v>
      </c>
    </row>
    <row r="112" spans="3:19">
      <c r="C112" s="244"/>
      <c r="D112" s="293"/>
      <c r="E112" s="244"/>
      <c r="F112" s="244"/>
      <c r="G112" s="244"/>
      <c r="H112" s="244"/>
      <c r="I112" s="326"/>
      <c r="J112" s="244"/>
      <c r="K112" s="279"/>
      <c r="L112" s="244"/>
      <c r="M112" s="244"/>
      <c r="N112" s="244"/>
      <c r="O112" s="244"/>
      <c r="Q112" s="279"/>
      <c r="R112" s="430">
        <v>1024402726.4480751</v>
      </c>
      <c r="S112" s="431" t="s">
        <v>272</v>
      </c>
    </row>
    <row r="113" spans="3:19">
      <c r="C113" s="244"/>
      <c r="D113" s="293"/>
      <c r="E113" s="244"/>
      <c r="F113" s="244"/>
      <c r="G113" s="244"/>
      <c r="H113" s="244"/>
      <c r="I113" s="326"/>
      <c r="J113" s="244"/>
      <c r="K113" s="279"/>
      <c r="L113" s="244"/>
      <c r="M113" s="244"/>
      <c r="N113" s="244"/>
      <c r="O113" s="244"/>
      <c r="Q113" s="279"/>
      <c r="R113" s="366">
        <v>0.25708399999999998</v>
      </c>
      <c r="S113" s="424" t="s">
        <v>273</v>
      </c>
    </row>
    <row r="114" spans="3:19">
      <c r="C114" s="244"/>
      <c r="D114" s="293"/>
      <c r="E114" s="244"/>
      <c r="F114" s="244"/>
      <c r="G114" s="244"/>
      <c r="H114" s="244"/>
      <c r="I114" s="326"/>
      <c r="J114" s="244"/>
      <c r="K114" s="279"/>
      <c r="L114" s="244"/>
      <c r="M114" s="244"/>
      <c r="N114" s="244"/>
      <c r="O114" s="244"/>
      <c r="Q114" s="279"/>
      <c r="R114" s="430">
        <v>0</v>
      </c>
      <c r="S114" s="424" t="s">
        <v>274</v>
      </c>
    </row>
    <row r="115" spans="3:19">
      <c r="C115" s="244"/>
      <c r="D115" s="293"/>
      <c r="E115" s="244"/>
      <c r="F115" s="244"/>
      <c r="G115" s="244"/>
      <c r="H115" s="244"/>
      <c r="I115" s="326"/>
      <c r="J115" s="244"/>
      <c r="K115" s="279"/>
      <c r="L115" s="244"/>
      <c r="M115" s="244"/>
      <c r="N115" s="244"/>
      <c r="O115" s="244"/>
      <c r="Q115" s="279"/>
      <c r="R115" s="430">
        <v>916292.83712206408</v>
      </c>
      <c r="S115" s="424" t="s">
        <v>275</v>
      </c>
    </row>
    <row r="116" spans="3:19">
      <c r="C116" s="244"/>
      <c r="D116" s="293"/>
      <c r="E116" s="244"/>
      <c r="F116" s="244"/>
      <c r="G116" s="244"/>
      <c r="H116" s="244"/>
      <c r="I116" s="326"/>
      <c r="J116" s="244"/>
      <c r="K116" s="279"/>
      <c r="L116" s="244"/>
      <c r="M116" s="244"/>
      <c r="N116" s="244"/>
      <c r="O116" s="244"/>
      <c r="Q116" s="279"/>
      <c r="R116" s="430">
        <v>392726.88971566106</v>
      </c>
      <c r="S116" s="424" t="s">
        <v>276</v>
      </c>
    </row>
    <row r="117" spans="3:19">
      <c r="C117" s="244"/>
      <c r="D117" s="293"/>
      <c r="E117" s="244"/>
      <c r="F117" s="244"/>
      <c r="G117" s="244"/>
      <c r="H117" s="244"/>
      <c r="I117" s="326"/>
      <c r="J117" s="244"/>
      <c r="K117" s="279"/>
      <c r="L117" s="244"/>
      <c r="M117" s="244"/>
      <c r="N117" s="244"/>
      <c r="O117" s="244"/>
      <c r="Q117" s="279"/>
      <c r="R117" s="430">
        <v>166029941.50559461</v>
      </c>
      <c r="S117" s="424" t="s">
        <v>277</v>
      </c>
    </row>
    <row r="118" spans="3:19">
      <c r="C118" s="244"/>
      <c r="D118" s="293"/>
      <c r="E118" s="244"/>
      <c r="F118" s="244"/>
      <c r="G118" s="244"/>
      <c r="H118" s="244"/>
      <c r="I118" s="326"/>
      <c r="J118" s="244"/>
      <c r="K118" s="279"/>
      <c r="L118" s="244"/>
      <c r="M118" s="244"/>
      <c r="N118" s="244"/>
      <c r="O118" s="244"/>
      <c r="Q118" s="279"/>
      <c r="R118" s="430">
        <v>77916458.568438277</v>
      </c>
      <c r="S118" s="424" t="s">
        <v>278</v>
      </c>
    </row>
    <row r="119" spans="3:19">
      <c r="C119" s="244"/>
      <c r="D119" s="293"/>
      <c r="E119" s="244"/>
      <c r="F119" s="244"/>
      <c r="G119" s="244"/>
      <c r="H119" s="244"/>
      <c r="I119" s="326"/>
      <c r="J119" s="244"/>
      <c r="K119" s="279"/>
      <c r="L119" s="244"/>
      <c r="M119" s="244"/>
      <c r="N119" s="244"/>
      <c r="O119" s="244"/>
      <c r="Q119" s="279"/>
      <c r="R119" s="430">
        <v>21824735.979156315</v>
      </c>
      <c r="S119" s="424" t="s">
        <v>279</v>
      </c>
    </row>
    <row r="120" spans="3:19">
      <c r="C120" s="244"/>
      <c r="D120" s="293"/>
      <c r="E120" s="244"/>
      <c r="F120" s="244"/>
      <c r="G120" s="244"/>
      <c r="H120" s="244"/>
      <c r="I120" s="326"/>
      <c r="J120" s="244"/>
      <c r="K120" s="279"/>
      <c r="L120" s="244"/>
      <c r="M120" s="244"/>
      <c r="N120" s="244"/>
      <c r="O120" s="244"/>
      <c r="Q120" s="279"/>
      <c r="R120" s="430">
        <v>0</v>
      </c>
      <c r="S120" s="424" t="s">
        <v>280</v>
      </c>
    </row>
    <row r="121" spans="3:19">
      <c r="C121" s="244"/>
      <c r="D121" s="293"/>
      <c r="E121" s="244"/>
      <c r="F121" s="244"/>
      <c r="G121" s="244"/>
      <c r="H121" s="244"/>
      <c r="I121" s="326"/>
      <c r="J121" s="244"/>
      <c r="K121" s="279"/>
      <c r="L121" s="244"/>
      <c r="M121" s="244"/>
      <c r="N121" s="244"/>
      <c r="O121" s="244"/>
      <c r="Q121" s="279"/>
      <c r="R121" s="430">
        <v>36381754</v>
      </c>
      <c r="S121" s="424" t="s">
        <v>281</v>
      </c>
    </row>
    <row r="122" spans="3:19">
      <c r="C122" s="244"/>
      <c r="D122" s="293"/>
      <c r="E122" s="244"/>
      <c r="F122" s="244"/>
      <c r="G122" s="244"/>
      <c r="H122" s="244"/>
      <c r="I122" s="326"/>
      <c r="J122" s="244"/>
      <c r="K122" s="279"/>
      <c r="L122" s="244"/>
      <c r="M122" s="244"/>
      <c r="N122" s="244"/>
      <c r="O122" s="244"/>
      <c r="Q122" s="279"/>
      <c r="R122" s="366">
        <v>0</v>
      </c>
      <c r="S122" s="424" t="s">
        <v>104</v>
      </c>
    </row>
    <row r="123" spans="3:19">
      <c r="C123" s="244"/>
      <c r="D123" s="293"/>
      <c r="E123" s="244"/>
      <c r="F123" s="244"/>
      <c r="G123" s="244"/>
      <c r="H123" s="244"/>
      <c r="I123" s="326"/>
      <c r="J123" s="244"/>
      <c r="K123" s="279"/>
      <c r="L123" s="244"/>
      <c r="M123" s="244"/>
      <c r="N123" s="244"/>
      <c r="O123" s="244"/>
      <c r="Q123" s="279"/>
      <c r="R123" s="430">
        <v>1099067268</v>
      </c>
      <c r="S123" s="424" t="s">
        <v>282</v>
      </c>
    </row>
    <row r="124" spans="3:19">
      <c r="C124" s="244"/>
      <c r="D124" s="293"/>
      <c r="E124" s="244"/>
      <c r="F124" s="244"/>
      <c r="G124" s="244"/>
      <c r="H124" s="244"/>
      <c r="I124" s="326"/>
      <c r="J124" s="244"/>
      <c r="K124" s="279"/>
      <c r="L124" s="244"/>
      <c r="M124" s="244"/>
      <c r="N124" s="244"/>
      <c r="O124" s="244"/>
      <c r="Q124" s="279"/>
      <c r="R124" s="366">
        <v>0.11796201313639214</v>
      </c>
      <c r="S124" s="432" t="s">
        <v>283</v>
      </c>
    </row>
    <row r="125" spans="3:19">
      <c r="C125" s="244"/>
      <c r="D125" s="293"/>
      <c r="E125" s="244"/>
      <c r="F125" s="244"/>
      <c r="G125" s="244"/>
      <c r="H125" s="244"/>
      <c r="I125" s="326"/>
      <c r="J125" s="244"/>
      <c r="K125" s="279"/>
      <c r="L125" s="244"/>
      <c r="M125" s="244"/>
      <c r="N125" s="244"/>
      <c r="O125" s="244"/>
      <c r="Q125" s="279"/>
      <c r="R125" s="433">
        <v>1184346694</v>
      </c>
      <c r="S125" s="249" t="s">
        <v>37</v>
      </c>
    </row>
    <row r="126" spans="3:19">
      <c r="C126" s="244"/>
      <c r="D126" s="293"/>
      <c r="E126" s="244"/>
      <c r="F126" s="244"/>
      <c r="G126" s="244"/>
      <c r="H126" s="244"/>
      <c r="I126" s="326"/>
      <c r="J126" s="244"/>
      <c r="K126" s="279"/>
      <c r="L126" s="244"/>
      <c r="M126" s="244"/>
      <c r="N126" s="244"/>
      <c r="O126" s="244"/>
      <c r="Q126" s="279"/>
      <c r="R126" s="433">
        <v>1332475327</v>
      </c>
      <c r="S126" s="249" t="s">
        <v>38</v>
      </c>
    </row>
    <row r="127" spans="3:19">
      <c r="C127" s="244"/>
      <c r="D127" s="293"/>
      <c r="E127" s="244"/>
      <c r="F127" s="244"/>
      <c r="G127" s="244"/>
      <c r="H127" s="244"/>
      <c r="I127" s="326"/>
      <c r="J127" s="244"/>
      <c r="K127" s="279"/>
      <c r="L127" s="244"/>
      <c r="M127" s="244"/>
      <c r="N127" s="244"/>
      <c r="O127" s="244"/>
      <c r="Q127" s="279"/>
      <c r="R127" s="433">
        <v>1240990679</v>
      </c>
      <c r="S127" s="373" t="s">
        <v>285</v>
      </c>
    </row>
    <row r="128" spans="3:19" ht="13.5" thickBot="1">
      <c r="C128" s="244"/>
      <c r="D128" s="293"/>
      <c r="E128" s="244"/>
      <c r="F128" s="244"/>
      <c r="G128" s="244"/>
      <c r="H128" s="244"/>
      <c r="I128" s="326"/>
      <c r="J128" s="244"/>
      <c r="K128" s="279"/>
      <c r="L128" s="244"/>
      <c r="M128" s="244"/>
      <c r="N128" s="244"/>
      <c r="O128" s="244"/>
      <c r="Q128" s="279"/>
      <c r="R128" s="434">
        <v>36381754</v>
      </c>
      <c r="S128" s="435" t="s">
        <v>284</v>
      </c>
    </row>
    <row r="129" spans="3:19">
      <c r="C129" s="244"/>
      <c r="D129" s="293"/>
      <c r="E129" s="244"/>
      <c r="F129" s="244"/>
      <c r="G129" s="244"/>
      <c r="H129" s="244"/>
      <c r="I129" s="326"/>
      <c r="J129" s="244"/>
      <c r="K129" s="279"/>
      <c r="L129" s="244"/>
      <c r="M129" s="244"/>
      <c r="N129" s="244"/>
      <c r="O129" s="244"/>
      <c r="Q129" s="279"/>
      <c r="R129" s="244"/>
      <c r="S129" s="244"/>
    </row>
    <row r="130" spans="3:19">
      <c r="C130" s="244"/>
      <c r="D130" s="293"/>
      <c r="E130" s="244"/>
      <c r="F130" s="244"/>
      <c r="G130" s="244"/>
      <c r="H130" s="244"/>
      <c r="I130" s="326"/>
      <c r="J130" s="244"/>
      <c r="K130" s="279"/>
      <c r="L130" s="244"/>
      <c r="M130" s="244"/>
      <c r="N130" s="244"/>
      <c r="O130" s="244"/>
      <c r="Q130" s="279"/>
      <c r="R130" s="352" t="s">
        <v>103</v>
      </c>
      <c r="S130" s="244" t="s">
        <v>115</v>
      </c>
    </row>
    <row r="131" spans="3:19" ht="13.5" thickBot="1">
      <c r="C131" s="244"/>
      <c r="D131" s="293"/>
      <c r="E131" s="244"/>
      <c r="F131" s="244"/>
      <c r="G131" s="244"/>
      <c r="H131" s="244"/>
      <c r="I131" s="326"/>
      <c r="J131" s="244"/>
      <c r="K131" s="279"/>
      <c r="L131" s="244"/>
      <c r="M131" s="244"/>
      <c r="N131" s="244"/>
      <c r="O131" s="244"/>
      <c r="Q131" s="279"/>
      <c r="R131" s="354" t="s">
        <v>187</v>
      </c>
      <c r="S131" s="244"/>
    </row>
    <row r="132" spans="3:19">
      <c r="C132" s="244"/>
      <c r="D132" s="293"/>
      <c r="E132" s="244"/>
      <c r="F132" s="244"/>
      <c r="G132" s="244"/>
      <c r="H132" s="244"/>
      <c r="I132" s="326"/>
      <c r="J132" s="244"/>
      <c r="K132" s="279"/>
      <c r="L132" s="244"/>
      <c r="M132" s="244"/>
      <c r="N132" s="244"/>
      <c r="O132" s="244"/>
      <c r="Q132" s="279"/>
      <c r="R132" s="378">
        <f>+N17</f>
        <v>39209807.067353562</v>
      </c>
      <c r="S132" s="145" t="s">
        <v>120</v>
      </c>
    </row>
    <row r="133" spans="3:19">
      <c r="C133" s="244"/>
      <c r="D133" s="293"/>
      <c r="E133" s="244"/>
      <c r="F133" s="244"/>
      <c r="G133" s="244"/>
      <c r="H133" s="244"/>
      <c r="I133" s="326"/>
      <c r="J133" s="244"/>
      <c r="K133" s="279"/>
      <c r="L133" s="244"/>
      <c r="M133" s="244"/>
      <c r="N133" s="244"/>
      <c r="O133" s="244"/>
      <c r="Q133" s="279"/>
      <c r="R133" s="379">
        <f>+O17</f>
        <v>39209807.067353562</v>
      </c>
      <c r="S133" s="145" t="s">
        <v>121</v>
      </c>
    </row>
    <row r="134" spans="3:19">
      <c r="C134" s="244"/>
      <c r="D134" s="293"/>
      <c r="E134" s="244"/>
      <c r="F134" s="244"/>
      <c r="G134" s="244"/>
      <c r="H134" s="244"/>
      <c r="I134" s="326"/>
      <c r="J134" s="244"/>
      <c r="K134" s="279"/>
      <c r="L134" s="244"/>
      <c r="M134" s="244"/>
      <c r="N134" s="244"/>
      <c r="O134" s="244"/>
      <c r="Q134" s="279"/>
      <c r="R134" s="436">
        <f>+N18</f>
        <v>43514763.10129635</v>
      </c>
      <c r="S134" s="145" t="s">
        <v>122</v>
      </c>
    </row>
    <row r="135" spans="3:19" ht="13.5" thickBot="1">
      <c r="C135" s="244"/>
      <c r="D135" s="293"/>
      <c r="E135" s="244"/>
      <c r="F135" s="244"/>
      <c r="G135" s="244"/>
      <c r="H135" s="244"/>
      <c r="I135" s="326"/>
      <c r="J135" s="244"/>
      <c r="K135" s="279"/>
      <c r="L135" s="244"/>
      <c r="M135" s="244"/>
      <c r="N135" s="244"/>
      <c r="O135" s="244"/>
      <c r="Q135" s="279"/>
      <c r="R135" s="437">
        <f>+O18</f>
        <v>43514763.10129635</v>
      </c>
      <c r="S135" s="145" t="s">
        <v>123</v>
      </c>
    </row>
    <row r="136" spans="3:19">
      <c r="C136" s="244"/>
      <c r="D136" s="293"/>
      <c r="E136" s="244"/>
      <c r="F136" s="244"/>
      <c r="G136" s="244"/>
      <c r="H136" s="244"/>
      <c r="I136" s="326"/>
      <c r="J136" s="244"/>
      <c r="K136" s="279"/>
      <c r="L136" s="244"/>
      <c r="M136" s="244"/>
      <c r="N136" s="244"/>
      <c r="O136" s="244"/>
      <c r="Q136" s="279"/>
      <c r="R136" s="244"/>
      <c r="S136" s="244"/>
    </row>
    <row r="137" spans="3:19">
      <c r="C137" s="244"/>
      <c r="D137" s="293"/>
      <c r="E137" s="244"/>
      <c r="F137" s="244"/>
      <c r="G137" s="244"/>
      <c r="H137" s="244"/>
      <c r="I137" s="326"/>
      <c r="J137" s="244"/>
      <c r="K137" s="279"/>
      <c r="L137" s="244"/>
      <c r="M137" s="244"/>
      <c r="N137" s="244"/>
      <c r="O137" s="244"/>
      <c r="Q137" s="279"/>
      <c r="R137" s="352" t="s">
        <v>113</v>
      </c>
      <c r="S137" s="353"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9"/>
  <dimension ref="A1:U163"/>
  <sheetViews>
    <sheetView zoomScaleNormal="100" zoomScaleSheetLayoutView="70"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14062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1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t="str">
        <f>RIGHT(N3,3)</f>
        <v/>
      </c>
      <c r="P3" s="443">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82861.19585201345</v>
      </c>
      <c r="P5" s="244"/>
      <c r="R5" s="244"/>
      <c r="S5" s="244"/>
      <c r="T5" s="244"/>
      <c r="U5" s="244"/>
    </row>
    <row r="6" spans="1:21" ht="15.75">
      <c r="C6" s="236"/>
      <c r="D6" s="293"/>
      <c r="E6" s="244"/>
      <c r="F6" s="244"/>
      <c r="G6" s="244"/>
      <c r="H6" s="450"/>
      <c r="I6" s="450"/>
      <c r="J6" s="451"/>
      <c r="K6" s="452" t="s">
        <v>243</v>
      </c>
      <c r="L6" s="453"/>
      <c r="M6" s="279"/>
      <c r="N6" s="454">
        <f>VLOOKUP(I10,C17:I73,6)</f>
        <v>82861.19585201345</v>
      </c>
      <c r="O6" s="244"/>
      <c r="P6" s="244"/>
      <c r="R6" s="244"/>
      <c r="S6" s="244"/>
      <c r="T6" s="244"/>
      <c r="U6" s="244"/>
    </row>
    <row r="7" spans="1:21" ht="13.5" thickBot="1">
      <c r="C7" s="455" t="s">
        <v>46</v>
      </c>
      <c r="D7" s="456" t="s">
        <v>191</v>
      </c>
      <c r="E7" s="331"/>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196</v>
      </c>
      <c r="E9" s="466"/>
      <c r="F9" s="466"/>
      <c r="G9" s="466"/>
      <c r="H9" s="466"/>
      <c r="I9" s="467"/>
      <c r="J9" s="468"/>
      <c r="O9" s="469"/>
      <c r="P9" s="279"/>
      <c r="R9" s="244"/>
      <c r="S9" s="244"/>
      <c r="T9" s="244"/>
      <c r="U9" s="244"/>
    </row>
    <row r="10" spans="1:21">
      <c r="C10" s="470" t="s">
        <v>49</v>
      </c>
      <c r="D10" s="471">
        <v>723818</v>
      </c>
      <c r="E10" s="300" t="s">
        <v>50</v>
      </c>
      <c r="F10" s="469"/>
      <c r="G10" s="409"/>
      <c r="H10" s="409"/>
      <c r="I10" s="472">
        <f>+'OKT.WS.F.BPU.ATRR.Projected'!R100</f>
        <v>2020</v>
      </c>
      <c r="J10" s="468"/>
      <c r="K10" s="295" t="s">
        <v>51</v>
      </c>
      <c r="O10" s="279"/>
      <c r="P10" s="279"/>
      <c r="R10" s="244"/>
      <c r="S10" s="244"/>
      <c r="T10" s="244"/>
      <c r="U10" s="244"/>
    </row>
    <row r="11" spans="1:21">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12</v>
      </c>
      <c r="E12" s="473" t="s">
        <v>55</v>
      </c>
      <c r="F12" s="409"/>
      <c r="G12" s="221"/>
      <c r="H12" s="221"/>
      <c r="I12" s="477">
        <f>'OKT.WS.F.BPU.ATRR.Projected'!$F$78</f>
        <v>0.1064171487591708</v>
      </c>
      <c r="J12" s="414"/>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c r="E14" s="279" t="s">
        <v>62</v>
      </c>
      <c r="F14" s="409"/>
      <c r="G14" s="221"/>
      <c r="H14" s="221"/>
      <c r="I14" s="478">
        <f>IF(D10=0,0,D10/D13)</f>
        <v>21288.764705882353</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IF(D17=F16,"","IU")</f>
        <v>IU</v>
      </c>
      <c r="C17" s="496">
        <f>IF(D11= "","-",D11)</f>
        <v>2010</v>
      </c>
      <c r="D17" s="497">
        <v>767749</v>
      </c>
      <c r="E17" s="498">
        <v>0</v>
      </c>
      <c r="F17" s="497">
        <v>767749</v>
      </c>
      <c r="G17" s="499">
        <v>92753.205799400443</v>
      </c>
      <c r="H17" s="500">
        <v>92753.205799400443</v>
      </c>
      <c r="I17" s="501">
        <f t="shared" ref="I17:I49" si="0">H17-G17</f>
        <v>0</v>
      </c>
      <c r="J17" s="501"/>
      <c r="K17" s="502">
        <f t="shared" ref="K17:K22" si="1">G17</f>
        <v>92753.205799400443</v>
      </c>
      <c r="L17" s="503">
        <f t="shared" ref="L17:L49" si="2">IF(K17&lt;&gt;0,+G17-K17,0)</f>
        <v>0</v>
      </c>
      <c r="M17" s="502">
        <f t="shared" ref="M17:M22" si="3">H17</f>
        <v>92753.205799400443</v>
      </c>
      <c r="N17" s="504">
        <f t="shared" ref="N17:N49" si="4">IF(M17&lt;&gt;0,+H17-M17,0)</f>
        <v>0</v>
      </c>
      <c r="O17" s="505">
        <f t="shared" ref="O17:O49" si="5">+N17-L17</f>
        <v>0</v>
      </c>
      <c r="P17" s="279"/>
      <c r="R17" s="244"/>
      <c r="S17" s="244"/>
      <c r="T17" s="244"/>
      <c r="U17" s="244"/>
    </row>
    <row r="18" spans="2:21">
      <c r="B18" s="145" t="str">
        <f>IF(D18=F17,"","IU")</f>
        <v/>
      </c>
      <c r="C18" s="496">
        <f>IF(D11="","-",+C17+1)</f>
        <v>2011</v>
      </c>
      <c r="D18" s="506">
        <v>767749</v>
      </c>
      <c r="E18" s="499">
        <v>10981.365584860865</v>
      </c>
      <c r="F18" s="506">
        <v>756767.63441513909</v>
      </c>
      <c r="G18" s="499">
        <v>109365.67160279222</v>
      </c>
      <c r="H18" s="500">
        <v>109365.67160279222</v>
      </c>
      <c r="I18" s="501">
        <f t="shared" si="0"/>
        <v>0</v>
      </c>
      <c r="J18" s="501"/>
      <c r="K18" s="507">
        <f t="shared" si="1"/>
        <v>109365.67160279222</v>
      </c>
      <c r="L18" s="508">
        <f t="shared" si="2"/>
        <v>0</v>
      </c>
      <c r="M18" s="507">
        <f t="shared" si="3"/>
        <v>109365.67160279222</v>
      </c>
      <c r="N18" s="505">
        <f t="shared" si="4"/>
        <v>0</v>
      </c>
      <c r="O18" s="505">
        <f t="shared" si="5"/>
        <v>0</v>
      </c>
      <c r="P18" s="279"/>
      <c r="R18" s="244"/>
      <c r="S18" s="244"/>
      <c r="T18" s="244"/>
      <c r="U18" s="244"/>
    </row>
    <row r="19" spans="2:21">
      <c r="B19" s="145" t="str">
        <f t="shared" ref="B19:B73" si="6">IF(D19=F18,"","IU")</f>
        <v/>
      </c>
      <c r="C19" s="496">
        <f>IF(D11="","-",+C18+1)</f>
        <v>2012</v>
      </c>
      <c r="D19" s="506">
        <v>756767.63441513909</v>
      </c>
      <c r="E19" s="499">
        <v>12221.81530625035</v>
      </c>
      <c r="F19" s="506">
        <v>744545.81910888874</v>
      </c>
      <c r="G19" s="499">
        <v>84179.959434377466</v>
      </c>
      <c r="H19" s="500">
        <v>84179.959434377466</v>
      </c>
      <c r="I19" s="501">
        <v>0</v>
      </c>
      <c r="J19" s="501"/>
      <c r="K19" s="507">
        <f t="shared" si="1"/>
        <v>84179.959434377466</v>
      </c>
      <c r="L19" s="505">
        <f t="shared" si="2"/>
        <v>0</v>
      </c>
      <c r="M19" s="507">
        <f t="shared" si="3"/>
        <v>84179.959434377466</v>
      </c>
      <c r="N19" s="505">
        <f t="shared" si="4"/>
        <v>0</v>
      </c>
      <c r="O19" s="505">
        <f t="shared" si="5"/>
        <v>0</v>
      </c>
      <c r="P19" s="279"/>
      <c r="R19" s="244"/>
      <c r="S19" s="244"/>
      <c r="T19" s="244"/>
      <c r="U19" s="244"/>
    </row>
    <row r="20" spans="2:21">
      <c r="B20" s="145" t="str">
        <f t="shared" si="6"/>
        <v>IU</v>
      </c>
      <c r="C20" s="496">
        <f>IF(D11="","-",+C19+1)</f>
        <v>2013</v>
      </c>
      <c r="D20" s="506">
        <v>700614.81910888874</v>
      </c>
      <c r="E20" s="499">
        <v>12521.479662412485</v>
      </c>
      <c r="F20" s="506">
        <v>688093.33944647631</v>
      </c>
      <c r="G20" s="499">
        <v>87689.629791132116</v>
      </c>
      <c r="H20" s="500">
        <v>87689.629791132116</v>
      </c>
      <c r="I20" s="501">
        <v>0</v>
      </c>
      <c r="J20" s="501"/>
      <c r="K20" s="507">
        <f t="shared" si="1"/>
        <v>87689.629791132116</v>
      </c>
      <c r="L20" s="505">
        <f t="shared" ref="L20:L25" si="7">IF(K20&lt;&gt;0,+G20-K20,0)</f>
        <v>0</v>
      </c>
      <c r="M20" s="507">
        <f t="shared" si="3"/>
        <v>87689.629791132116</v>
      </c>
      <c r="N20" s="505">
        <f>IF(M20&lt;&gt;0,+H20-M20,0)</f>
        <v>0</v>
      </c>
      <c r="O20" s="505">
        <f>+N20-L20</f>
        <v>0</v>
      </c>
      <c r="P20" s="279"/>
      <c r="R20" s="244"/>
      <c r="S20" s="244"/>
      <c r="T20" s="244"/>
      <c r="U20" s="244"/>
    </row>
    <row r="21" spans="2:21">
      <c r="B21" s="145" t="str">
        <f t="shared" si="6"/>
        <v/>
      </c>
      <c r="C21" s="496">
        <f>IF(D12="","-",+C20+1)</f>
        <v>2014</v>
      </c>
      <c r="D21" s="506">
        <v>688093.33944647631</v>
      </c>
      <c r="E21" s="499">
        <v>12521.479662412485</v>
      </c>
      <c r="F21" s="506">
        <v>675571.85978406388</v>
      </c>
      <c r="G21" s="499">
        <v>86852.845850246973</v>
      </c>
      <c r="H21" s="500">
        <v>86852.845850246973</v>
      </c>
      <c r="I21" s="501">
        <v>0</v>
      </c>
      <c r="J21" s="501"/>
      <c r="K21" s="507">
        <f t="shared" si="1"/>
        <v>86852.845850246973</v>
      </c>
      <c r="L21" s="505">
        <f t="shared" si="7"/>
        <v>0</v>
      </c>
      <c r="M21" s="507">
        <f t="shared" si="3"/>
        <v>86852.845850246973</v>
      </c>
      <c r="N21" s="505">
        <f>IF(M21&lt;&gt;0,+H21-M21,0)</f>
        <v>0</v>
      </c>
      <c r="O21" s="505">
        <f>+N21-L21</f>
        <v>0</v>
      </c>
      <c r="P21" s="279"/>
      <c r="R21" s="244"/>
      <c r="S21" s="244"/>
      <c r="T21" s="244"/>
      <c r="U21" s="244"/>
    </row>
    <row r="22" spans="2:21">
      <c r="B22" s="145" t="str">
        <f t="shared" si="6"/>
        <v/>
      </c>
      <c r="C22" s="496">
        <f>IF(D11="","-",+C21+1)</f>
        <v>2015</v>
      </c>
      <c r="D22" s="506">
        <v>675571.85978406388</v>
      </c>
      <c r="E22" s="499">
        <v>12521.479662412485</v>
      </c>
      <c r="F22" s="506">
        <v>663050.38012165145</v>
      </c>
      <c r="G22" s="499">
        <v>80859.057608604737</v>
      </c>
      <c r="H22" s="500">
        <v>80859.057608604737</v>
      </c>
      <c r="I22" s="501">
        <f t="shared" si="0"/>
        <v>0</v>
      </c>
      <c r="J22" s="501"/>
      <c r="K22" s="507">
        <f t="shared" si="1"/>
        <v>80859.057608604737</v>
      </c>
      <c r="L22" s="505">
        <f t="shared" si="7"/>
        <v>0</v>
      </c>
      <c r="M22" s="507">
        <f t="shared" si="3"/>
        <v>80859.057608604737</v>
      </c>
      <c r="N22" s="505">
        <f>IF(M22&lt;&gt;0,+H22-M22,0)</f>
        <v>0</v>
      </c>
      <c r="O22" s="505">
        <f>+N22-L22</f>
        <v>0</v>
      </c>
      <c r="P22" s="279"/>
      <c r="R22" s="244"/>
      <c r="S22" s="244"/>
      <c r="T22" s="244"/>
      <c r="U22" s="244"/>
    </row>
    <row r="23" spans="2:21">
      <c r="B23" s="145" t="str">
        <f t="shared" si="6"/>
        <v/>
      </c>
      <c r="C23" s="496">
        <f>IF(D11="","-",+C22+1)</f>
        <v>2016</v>
      </c>
      <c r="D23" s="506">
        <v>663050.38012165145</v>
      </c>
      <c r="E23" s="499">
        <v>15040.542945521509</v>
      </c>
      <c r="F23" s="506">
        <v>648009.83717612992</v>
      </c>
      <c r="G23" s="499">
        <v>84948.083991581108</v>
      </c>
      <c r="H23" s="500">
        <v>84948.083991581108</v>
      </c>
      <c r="I23" s="501">
        <f t="shared" si="0"/>
        <v>0</v>
      </c>
      <c r="J23" s="501"/>
      <c r="K23" s="507">
        <f t="shared" ref="K23:K28" si="8">G23</f>
        <v>84948.083991581108</v>
      </c>
      <c r="L23" s="505">
        <f t="shared" si="7"/>
        <v>0</v>
      </c>
      <c r="M23" s="507">
        <f t="shared" ref="M23:M28" si="9">H23</f>
        <v>84948.083991581108</v>
      </c>
      <c r="N23" s="505">
        <f t="shared" si="4"/>
        <v>0</v>
      </c>
      <c r="O23" s="505">
        <f t="shared" si="5"/>
        <v>0</v>
      </c>
      <c r="P23" s="279"/>
      <c r="R23" s="244"/>
      <c r="S23" s="244"/>
      <c r="T23" s="244"/>
      <c r="U23" s="244"/>
    </row>
    <row r="24" spans="2:21">
      <c r="B24" s="145" t="str">
        <f t="shared" si="6"/>
        <v/>
      </c>
      <c r="C24" s="496">
        <f>IF(D11="","-",+C23+1)</f>
        <v>2017</v>
      </c>
      <c r="D24" s="506">
        <v>648009.83717612992</v>
      </c>
      <c r="E24" s="499">
        <v>14231.694883080969</v>
      </c>
      <c r="F24" s="506">
        <v>633778.14229304891</v>
      </c>
      <c r="G24" s="499">
        <v>84691.562397354341</v>
      </c>
      <c r="H24" s="500">
        <v>84691.562397354341</v>
      </c>
      <c r="I24" s="501">
        <f t="shared" si="0"/>
        <v>0</v>
      </c>
      <c r="J24" s="501"/>
      <c r="K24" s="507">
        <f t="shared" si="8"/>
        <v>84691.562397354341</v>
      </c>
      <c r="L24" s="505">
        <f t="shared" si="7"/>
        <v>0</v>
      </c>
      <c r="M24" s="507">
        <f t="shared" si="9"/>
        <v>84691.562397354341</v>
      </c>
      <c r="N24" s="505">
        <f>IF(M24&lt;&gt;0,+H24-M24,0)</f>
        <v>0</v>
      </c>
      <c r="O24" s="505">
        <f>+N24-L24</f>
        <v>0</v>
      </c>
      <c r="P24" s="279"/>
      <c r="R24" s="244"/>
      <c r="S24" s="244"/>
      <c r="T24" s="244"/>
      <c r="U24" s="244"/>
    </row>
    <row r="25" spans="2:21">
      <c r="B25" s="145" t="str">
        <f t="shared" si="6"/>
        <v/>
      </c>
      <c r="C25" s="496">
        <f>IF(D11="","-",+C24+1)</f>
        <v>2018</v>
      </c>
      <c r="D25" s="506">
        <v>633778.14229304891</v>
      </c>
      <c r="E25" s="499">
        <v>17751.333847969061</v>
      </c>
      <c r="F25" s="506">
        <v>616026.80844507983</v>
      </c>
      <c r="G25" s="499">
        <v>91171.767437218194</v>
      </c>
      <c r="H25" s="500">
        <v>91171.767437218194</v>
      </c>
      <c r="I25" s="501">
        <f t="shared" si="0"/>
        <v>0</v>
      </c>
      <c r="J25" s="501"/>
      <c r="K25" s="507">
        <f t="shared" si="8"/>
        <v>91171.767437218194</v>
      </c>
      <c r="L25" s="505">
        <f t="shared" si="7"/>
        <v>0</v>
      </c>
      <c r="M25" s="507">
        <f t="shared" si="9"/>
        <v>91171.767437218194</v>
      </c>
      <c r="N25" s="505">
        <f>IF(M25&lt;&gt;0,+H25-M25,0)</f>
        <v>0</v>
      </c>
      <c r="O25" s="505">
        <f>+N25-L25</f>
        <v>0</v>
      </c>
      <c r="P25" s="279"/>
      <c r="R25" s="244"/>
      <c r="S25" s="244"/>
      <c r="T25" s="244"/>
      <c r="U25" s="244"/>
    </row>
    <row r="26" spans="2:21">
      <c r="B26" s="145" t="str">
        <f t="shared" si="6"/>
        <v/>
      </c>
      <c r="C26" s="496">
        <f>IF(D11="","-",+C25+1)</f>
        <v>2019</v>
      </c>
      <c r="D26" s="506">
        <v>616026.80844507983</v>
      </c>
      <c r="E26" s="499">
        <v>17751.333847969061</v>
      </c>
      <c r="F26" s="506">
        <v>598275.47459711076</v>
      </c>
      <c r="G26" s="499">
        <v>89086.144993274967</v>
      </c>
      <c r="H26" s="500">
        <v>89086.144993274967</v>
      </c>
      <c r="I26" s="501">
        <f t="shared" si="0"/>
        <v>0</v>
      </c>
      <c r="J26" s="501"/>
      <c r="K26" s="507">
        <f t="shared" si="8"/>
        <v>89086.144993274967</v>
      </c>
      <c r="L26" s="505">
        <f t="shared" ref="L26" si="10">IF(K26&lt;&gt;0,+G26-K26,0)</f>
        <v>0</v>
      </c>
      <c r="M26" s="507">
        <f t="shared" si="9"/>
        <v>89086.144993274967</v>
      </c>
      <c r="N26" s="505">
        <f>IF(M26&lt;&gt;0,+H26-M26,0)</f>
        <v>0</v>
      </c>
      <c r="O26" s="505">
        <f>+N26-L26</f>
        <v>0</v>
      </c>
      <c r="P26" s="279"/>
      <c r="R26" s="244"/>
      <c r="S26" s="244"/>
      <c r="T26" s="244"/>
      <c r="U26" s="244"/>
    </row>
    <row r="27" spans="2:21">
      <c r="B27" s="145" t="str">
        <f t="shared" si="6"/>
        <v/>
      </c>
      <c r="C27" s="496">
        <f>IF(D11="","-",+C26+1)</f>
        <v>2020</v>
      </c>
      <c r="D27" s="506">
        <v>598275.47459711076</v>
      </c>
      <c r="E27" s="499">
        <v>21194.679776158337</v>
      </c>
      <c r="F27" s="506">
        <v>577080.79482095246</v>
      </c>
      <c r="G27" s="499">
        <v>82861.19585201345</v>
      </c>
      <c r="H27" s="500">
        <v>82861.19585201345</v>
      </c>
      <c r="I27" s="501">
        <f t="shared" si="0"/>
        <v>0</v>
      </c>
      <c r="J27" s="501"/>
      <c r="K27" s="507">
        <f t="shared" si="8"/>
        <v>82861.19585201345</v>
      </c>
      <c r="L27" s="505">
        <f t="shared" ref="L27" si="11">IF(K27&lt;&gt;0,+G27-K27,0)</f>
        <v>0</v>
      </c>
      <c r="M27" s="507">
        <f t="shared" si="9"/>
        <v>82861.19585201345</v>
      </c>
      <c r="N27" s="505">
        <f>IF(M27&lt;&gt;0,+H27-M27,0)</f>
        <v>0</v>
      </c>
      <c r="O27" s="505">
        <f t="shared" si="5"/>
        <v>0</v>
      </c>
      <c r="P27" s="279"/>
      <c r="R27" s="244"/>
      <c r="S27" s="244"/>
      <c r="T27" s="244"/>
      <c r="U27" s="244"/>
    </row>
    <row r="28" spans="2:21">
      <c r="B28" s="145" t="str">
        <f t="shared" si="6"/>
        <v>IU</v>
      </c>
      <c r="C28" s="496">
        <f>IF(D11="","-",+C27+1)</f>
        <v>2021</v>
      </c>
      <c r="D28" s="506">
        <v>573364.52140741248</v>
      </c>
      <c r="E28" s="499">
        <v>23348.967741935485</v>
      </c>
      <c r="F28" s="506">
        <v>550015.55366547697</v>
      </c>
      <c r="G28" s="499">
        <v>84115.442190341273</v>
      </c>
      <c r="H28" s="500">
        <v>84115.442190341273</v>
      </c>
      <c r="I28" s="501">
        <f t="shared" si="0"/>
        <v>0</v>
      </c>
      <c r="J28" s="501"/>
      <c r="K28" s="507">
        <f t="shared" si="8"/>
        <v>84115.442190341273</v>
      </c>
      <c r="L28" s="505">
        <f t="shared" ref="L28" si="12">IF(K28&lt;&gt;0,+G28-K28,0)</f>
        <v>0</v>
      </c>
      <c r="M28" s="507">
        <f t="shared" si="9"/>
        <v>84115.442190341273</v>
      </c>
      <c r="N28" s="505">
        <f t="shared" si="4"/>
        <v>0</v>
      </c>
      <c r="O28" s="505">
        <f t="shared" si="5"/>
        <v>0</v>
      </c>
      <c r="P28" s="279"/>
      <c r="R28" s="244"/>
      <c r="S28" s="244"/>
      <c r="T28" s="244"/>
      <c r="U28" s="244"/>
    </row>
    <row r="29" spans="2:21">
      <c r="B29" s="145" t="str">
        <f t="shared" si="6"/>
        <v>IU</v>
      </c>
      <c r="C29" s="496">
        <f>IF(D11="","-",+C28+1)</f>
        <v>2022</v>
      </c>
      <c r="D29" s="509">
        <f>IF(F28+SUM(E$17:E28)=D$10,F28,D$10-SUM(E$17:E28))</f>
        <v>553731.82707901695</v>
      </c>
      <c r="E29" s="510">
        <f>IF(+I14&lt;F28,I14,D29)</f>
        <v>21288.764705882353</v>
      </c>
      <c r="F29" s="511">
        <f t="shared" ref="F29:F49" si="13">+D29-E29</f>
        <v>532443.06237313454</v>
      </c>
      <c r="G29" s="512">
        <f t="shared" ref="G29:G73" si="14">(D29+F29)/2*I$12+E29</f>
        <v>79082.582100535103</v>
      </c>
      <c r="H29" s="478">
        <f t="shared" ref="H29:H73" si="15">+(D29+F29)/2*I$13+E29</f>
        <v>79082.582100535103</v>
      </c>
      <c r="I29" s="501">
        <f t="shared" si="0"/>
        <v>0</v>
      </c>
      <c r="J29" s="501"/>
      <c r="K29" s="513"/>
      <c r="L29" s="505">
        <f t="shared" si="2"/>
        <v>0</v>
      </c>
      <c r="M29" s="513"/>
      <c r="N29" s="505">
        <f t="shared" si="4"/>
        <v>0</v>
      </c>
      <c r="O29" s="505">
        <f t="shared" si="5"/>
        <v>0</v>
      </c>
      <c r="P29" s="279"/>
      <c r="R29" s="244"/>
      <c r="S29" s="244"/>
      <c r="T29" s="244"/>
      <c r="U29" s="244"/>
    </row>
    <row r="30" spans="2:21">
      <c r="B30" s="145" t="str">
        <f t="shared" si="6"/>
        <v/>
      </c>
      <c r="C30" s="496">
        <f>IF(D11="","-",+C29+1)</f>
        <v>2023</v>
      </c>
      <c r="D30" s="509">
        <f>IF(F29+SUM(E$17:E29)=D$10,F29,D$10-SUM(E$17:E29))</f>
        <v>532443.06237313454</v>
      </c>
      <c r="E30" s="510">
        <f>IF(+I14&lt;F29,I14,D30)</f>
        <v>21288.764705882353</v>
      </c>
      <c r="F30" s="511">
        <f t="shared" si="13"/>
        <v>511154.29766725219</v>
      </c>
      <c r="G30" s="512">
        <f t="shared" si="14"/>
        <v>76817.092459930238</v>
      </c>
      <c r="H30" s="478">
        <f t="shared" si="15"/>
        <v>76817.092459930238</v>
      </c>
      <c r="I30" s="501">
        <f t="shared" si="0"/>
        <v>0</v>
      </c>
      <c r="J30" s="501"/>
      <c r="K30" s="513"/>
      <c r="L30" s="505">
        <f t="shared" si="2"/>
        <v>0</v>
      </c>
      <c r="M30" s="513"/>
      <c r="N30" s="505">
        <f t="shared" si="4"/>
        <v>0</v>
      </c>
      <c r="O30" s="505">
        <f t="shared" si="5"/>
        <v>0</v>
      </c>
      <c r="P30" s="279"/>
      <c r="R30" s="244"/>
      <c r="S30" s="244"/>
      <c r="T30" s="244"/>
      <c r="U30" s="244"/>
    </row>
    <row r="31" spans="2:21">
      <c r="B31" s="145" t="str">
        <f t="shared" si="6"/>
        <v/>
      </c>
      <c r="C31" s="496">
        <f>IF(D11="","-",+C30+1)</f>
        <v>2024</v>
      </c>
      <c r="D31" s="509">
        <f>IF(F30+SUM(E$17:E30)=D$10,F30,D$10-SUM(E$17:E30))</f>
        <v>511154.29766725219</v>
      </c>
      <c r="E31" s="510">
        <f>IF(+I14&lt;F30,I14,D31)</f>
        <v>21288.764705882353</v>
      </c>
      <c r="F31" s="511">
        <f t="shared" si="13"/>
        <v>489865.53296136984</v>
      </c>
      <c r="G31" s="512">
        <f t="shared" si="14"/>
        <v>74551.602819325373</v>
      </c>
      <c r="H31" s="478">
        <f t="shared" si="15"/>
        <v>74551.602819325373</v>
      </c>
      <c r="I31" s="501">
        <f t="shared" si="0"/>
        <v>0</v>
      </c>
      <c r="J31" s="501"/>
      <c r="K31" s="513"/>
      <c r="L31" s="505">
        <f t="shared" si="2"/>
        <v>0</v>
      </c>
      <c r="M31" s="513"/>
      <c r="N31" s="505">
        <f t="shared" si="4"/>
        <v>0</v>
      </c>
      <c r="O31" s="505">
        <f t="shared" si="5"/>
        <v>0</v>
      </c>
      <c r="P31" s="279"/>
      <c r="Q31" s="221"/>
      <c r="R31" s="279"/>
      <c r="S31" s="279"/>
      <c r="T31" s="279"/>
      <c r="U31" s="244"/>
    </row>
    <row r="32" spans="2:21">
      <c r="C32" s="496">
        <f>IF(D12="","-",+C31+1)</f>
        <v>2025</v>
      </c>
      <c r="D32" s="509">
        <f>IF(F31+SUM(E$17:E31)=D$10,F31,D$10-SUM(E$17:E31))</f>
        <v>489865.53296136984</v>
      </c>
      <c r="E32" s="510">
        <f>IF(+I14&lt;F31,I14,D32)</f>
        <v>21288.764705882353</v>
      </c>
      <c r="F32" s="511">
        <f>+D32-E32</f>
        <v>468576.76825548749</v>
      </c>
      <c r="G32" s="512">
        <f t="shared" si="14"/>
        <v>72286.113178720494</v>
      </c>
      <c r="H32" s="478">
        <f t="shared" si="15"/>
        <v>72286.113178720494</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IF(D33=F31,"","IU")</f>
        <v/>
      </c>
      <c r="C33" s="496">
        <f>IF(D13="","-",+C32+1)</f>
        <v>2026</v>
      </c>
      <c r="D33" s="509">
        <f>IF(F31+SUM(E$17:E31)=D$10,F31,D$10-SUM(E$17:E31))</f>
        <v>489865.53296136984</v>
      </c>
      <c r="E33" s="510">
        <f>IF(+I14&lt;F31,I14,D33)</f>
        <v>21288.764705882353</v>
      </c>
      <c r="F33" s="511">
        <f t="shared" si="13"/>
        <v>468576.76825548749</v>
      </c>
      <c r="G33" s="512">
        <f t="shared" si="14"/>
        <v>72286.113178720494</v>
      </c>
      <c r="H33" s="478">
        <f t="shared" si="15"/>
        <v>72286.113178720494</v>
      </c>
      <c r="I33" s="501">
        <f t="shared" si="0"/>
        <v>0</v>
      </c>
      <c r="J33" s="501"/>
      <c r="K33" s="513"/>
      <c r="L33" s="505">
        <f t="shared" si="2"/>
        <v>0</v>
      </c>
      <c r="M33" s="513"/>
      <c r="N33" s="505">
        <f t="shared" si="4"/>
        <v>0</v>
      </c>
      <c r="O33" s="505">
        <f t="shared" si="5"/>
        <v>0</v>
      </c>
      <c r="P33" s="279"/>
      <c r="R33" s="244"/>
      <c r="S33" s="244"/>
      <c r="T33" s="244"/>
      <c r="U33" s="244"/>
    </row>
    <row r="34" spans="2:21">
      <c r="B34" s="145" t="str">
        <f>IF(D34=F33,"","IU")</f>
        <v>IU</v>
      </c>
      <c r="C34" s="514">
        <f>IF(D11="","-",+C33+1)</f>
        <v>2027</v>
      </c>
      <c r="D34" s="515">
        <f>IF(F33+SUM(E$17:E33)=D$10,F33,D$10-SUM(E$17:E33))</f>
        <v>447288.00354960514</v>
      </c>
      <c r="E34" s="516">
        <f>IF(+I14&lt;F33,I14,D34)</f>
        <v>21288.764705882353</v>
      </c>
      <c r="F34" s="517">
        <f t="shared" si="13"/>
        <v>425999.23884372279</v>
      </c>
      <c r="G34" s="518">
        <f t="shared" si="14"/>
        <v>67755.133897510765</v>
      </c>
      <c r="H34" s="519">
        <f t="shared" si="15"/>
        <v>67755.133897510765</v>
      </c>
      <c r="I34" s="520">
        <f t="shared" si="0"/>
        <v>0</v>
      </c>
      <c r="J34" s="520"/>
      <c r="K34" s="521"/>
      <c r="L34" s="522">
        <f t="shared" si="2"/>
        <v>0</v>
      </c>
      <c r="M34" s="521"/>
      <c r="N34" s="522">
        <f t="shared" si="4"/>
        <v>0</v>
      </c>
      <c r="O34" s="522">
        <f t="shared" si="5"/>
        <v>0</v>
      </c>
      <c r="P34" s="523"/>
      <c r="Q34" s="217"/>
      <c r="R34" s="523"/>
      <c r="S34" s="523"/>
      <c r="T34" s="523"/>
      <c r="U34" s="244"/>
    </row>
    <row r="35" spans="2:21">
      <c r="B35" s="145" t="str">
        <f t="shared" si="6"/>
        <v/>
      </c>
      <c r="C35" s="496">
        <f>IF(D11="","-",+C34+1)</f>
        <v>2028</v>
      </c>
      <c r="D35" s="509">
        <f>IF(F34+SUM(E$17:E34)=D$10,F34,D$10-SUM(E$17:E34))</f>
        <v>425999.23884372279</v>
      </c>
      <c r="E35" s="510">
        <f>IF(+I14&lt;F34,I14,D35)</f>
        <v>21288.764705882353</v>
      </c>
      <c r="F35" s="511">
        <f t="shared" si="13"/>
        <v>404710.47413784044</v>
      </c>
      <c r="G35" s="512">
        <f t="shared" si="14"/>
        <v>65489.6442569059</v>
      </c>
      <c r="H35" s="478">
        <f t="shared" si="15"/>
        <v>65489.6442569059</v>
      </c>
      <c r="I35" s="501">
        <f t="shared" si="0"/>
        <v>0</v>
      </c>
      <c r="J35" s="501"/>
      <c r="K35" s="513"/>
      <c r="L35" s="505">
        <f t="shared" si="2"/>
        <v>0</v>
      </c>
      <c r="M35" s="513"/>
      <c r="N35" s="505">
        <f t="shared" si="4"/>
        <v>0</v>
      </c>
      <c r="O35" s="505">
        <f t="shared" si="5"/>
        <v>0</v>
      </c>
      <c r="P35" s="279"/>
      <c r="R35" s="244"/>
      <c r="S35" s="244"/>
      <c r="T35" s="244"/>
      <c r="U35" s="244"/>
    </row>
    <row r="36" spans="2:21">
      <c r="B36" s="145" t="str">
        <f t="shared" si="6"/>
        <v/>
      </c>
      <c r="C36" s="496">
        <f>IF(D11="","-",+C35+1)</f>
        <v>2029</v>
      </c>
      <c r="D36" s="509">
        <f>IF(F35+SUM(E$17:E35)=D$10,F35,D$10-SUM(E$17:E35))</f>
        <v>404710.47413784044</v>
      </c>
      <c r="E36" s="510">
        <f>IF(+I14&lt;F35,I14,D36)</f>
        <v>21288.764705882353</v>
      </c>
      <c r="F36" s="511">
        <f t="shared" si="13"/>
        <v>383421.70943195809</v>
      </c>
      <c r="G36" s="512">
        <f t="shared" si="14"/>
        <v>63224.154616301035</v>
      </c>
      <c r="H36" s="478">
        <f t="shared" si="15"/>
        <v>63224.154616301035</v>
      </c>
      <c r="I36" s="501">
        <f t="shared" si="0"/>
        <v>0</v>
      </c>
      <c r="J36" s="501"/>
      <c r="K36" s="513"/>
      <c r="L36" s="505">
        <f t="shared" si="2"/>
        <v>0</v>
      </c>
      <c r="M36" s="513"/>
      <c r="N36" s="505">
        <f t="shared" si="4"/>
        <v>0</v>
      </c>
      <c r="O36" s="505">
        <f t="shared" si="5"/>
        <v>0</v>
      </c>
      <c r="P36" s="279"/>
      <c r="R36" s="244"/>
      <c r="S36" s="244"/>
      <c r="T36" s="244"/>
      <c r="U36" s="244"/>
    </row>
    <row r="37" spans="2:21">
      <c r="B37" s="145" t="str">
        <f t="shared" si="6"/>
        <v/>
      </c>
      <c r="C37" s="496">
        <f>IF(D11="","-",+C36+1)</f>
        <v>2030</v>
      </c>
      <c r="D37" s="509">
        <f>IF(F36+SUM(E$17:E36)=D$10,F36,D$10-SUM(E$17:E36))</f>
        <v>383421.70943195809</v>
      </c>
      <c r="E37" s="510">
        <f>IF(+I14&lt;F36,I14,D37)</f>
        <v>21288.764705882353</v>
      </c>
      <c r="F37" s="511">
        <f t="shared" si="13"/>
        <v>362132.94472607574</v>
      </c>
      <c r="G37" s="512">
        <f t="shared" si="14"/>
        <v>60958.664975696171</v>
      </c>
      <c r="H37" s="478">
        <f t="shared" si="15"/>
        <v>60958.664975696171</v>
      </c>
      <c r="I37" s="501">
        <f t="shared" si="0"/>
        <v>0</v>
      </c>
      <c r="J37" s="501"/>
      <c r="K37" s="513"/>
      <c r="L37" s="505">
        <f t="shared" si="2"/>
        <v>0</v>
      </c>
      <c r="M37" s="513"/>
      <c r="N37" s="505">
        <f t="shared" si="4"/>
        <v>0</v>
      </c>
      <c r="O37" s="505">
        <f t="shared" si="5"/>
        <v>0</v>
      </c>
      <c r="P37" s="279"/>
      <c r="R37" s="244"/>
      <c r="S37" s="244"/>
      <c r="T37" s="244"/>
      <c r="U37" s="244"/>
    </row>
    <row r="38" spans="2:21">
      <c r="B38" s="145" t="str">
        <f t="shared" si="6"/>
        <v/>
      </c>
      <c r="C38" s="496">
        <f>IF(D11="","-",+C37+1)</f>
        <v>2031</v>
      </c>
      <c r="D38" s="509">
        <f>IF(F37+SUM(E$17:E37)=D$10,F37,D$10-SUM(E$17:E37))</f>
        <v>362132.94472607574</v>
      </c>
      <c r="E38" s="510">
        <f>IF(+I14&lt;F37,I14,D38)</f>
        <v>21288.764705882353</v>
      </c>
      <c r="F38" s="511">
        <f t="shared" si="13"/>
        <v>340844.18002019339</v>
      </c>
      <c r="G38" s="512">
        <f t="shared" si="14"/>
        <v>58693.175335091291</v>
      </c>
      <c r="H38" s="478">
        <f t="shared" si="15"/>
        <v>58693.175335091291</v>
      </c>
      <c r="I38" s="501">
        <f t="shared" si="0"/>
        <v>0</v>
      </c>
      <c r="J38" s="501"/>
      <c r="K38" s="513"/>
      <c r="L38" s="505">
        <f t="shared" si="2"/>
        <v>0</v>
      </c>
      <c r="M38" s="513"/>
      <c r="N38" s="505">
        <f t="shared" si="4"/>
        <v>0</v>
      </c>
      <c r="O38" s="505">
        <f t="shared" si="5"/>
        <v>0</v>
      </c>
      <c r="P38" s="279"/>
      <c r="R38" s="244"/>
      <c r="S38" s="244"/>
      <c r="T38" s="244"/>
      <c r="U38" s="244"/>
    </row>
    <row r="39" spans="2:21">
      <c r="B39" s="145" t="str">
        <f t="shared" si="6"/>
        <v/>
      </c>
      <c r="C39" s="496">
        <f>IF(D11="","-",+C38+1)</f>
        <v>2032</v>
      </c>
      <c r="D39" s="509">
        <f>IF(F38+SUM(E$17:E38)=D$10,F38,D$10-SUM(E$17:E38))</f>
        <v>340844.18002019339</v>
      </c>
      <c r="E39" s="510">
        <f>IF(+I14&lt;F38,I14,D39)</f>
        <v>21288.764705882353</v>
      </c>
      <c r="F39" s="511">
        <f t="shared" si="13"/>
        <v>319555.41531431105</v>
      </c>
      <c r="G39" s="512">
        <f t="shared" si="14"/>
        <v>56427.685694486441</v>
      </c>
      <c r="H39" s="478">
        <f t="shared" si="15"/>
        <v>56427.685694486441</v>
      </c>
      <c r="I39" s="501">
        <f t="shared" si="0"/>
        <v>0</v>
      </c>
      <c r="J39" s="501"/>
      <c r="K39" s="513"/>
      <c r="L39" s="505">
        <f t="shared" si="2"/>
        <v>0</v>
      </c>
      <c r="M39" s="513"/>
      <c r="N39" s="505">
        <f t="shared" si="4"/>
        <v>0</v>
      </c>
      <c r="O39" s="505">
        <f t="shared" si="5"/>
        <v>0</v>
      </c>
      <c r="P39" s="279"/>
      <c r="R39" s="244"/>
      <c r="S39" s="244"/>
      <c r="T39" s="244"/>
      <c r="U39" s="244"/>
    </row>
    <row r="40" spans="2:21">
      <c r="B40" s="145" t="str">
        <f t="shared" si="6"/>
        <v/>
      </c>
      <c r="C40" s="496">
        <f>IF(D11="","-",+C39+1)</f>
        <v>2033</v>
      </c>
      <c r="D40" s="509">
        <f>IF(F39+SUM(E$17:E39)=D$10,F39,D$10-SUM(E$17:E39))</f>
        <v>319555.41531431105</v>
      </c>
      <c r="E40" s="510">
        <f>IF(+I14&lt;F39,I14,D40)</f>
        <v>21288.764705882353</v>
      </c>
      <c r="F40" s="511">
        <f t="shared" si="13"/>
        <v>298266.6506084287</v>
      </c>
      <c r="G40" s="512">
        <f t="shared" si="14"/>
        <v>54162.196053881562</v>
      </c>
      <c r="H40" s="478">
        <f t="shared" si="15"/>
        <v>54162.196053881562</v>
      </c>
      <c r="I40" s="501">
        <f t="shared" si="0"/>
        <v>0</v>
      </c>
      <c r="J40" s="501"/>
      <c r="K40" s="513"/>
      <c r="L40" s="505">
        <f t="shared" si="2"/>
        <v>0</v>
      </c>
      <c r="M40" s="513"/>
      <c r="N40" s="505">
        <f t="shared" si="4"/>
        <v>0</v>
      </c>
      <c r="O40" s="505">
        <f t="shared" si="5"/>
        <v>0</v>
      </c>
      <c r="P40" s="279"/>
      <c r="R40" s="244"/>
      <c r="S40" s="244"/>
      <c r="T40" s="244"/>
      <c r="U40" s="244"/>
    </row>
    <row r="41" spans="2:21">
      <c r="B41" s="145" t="str">
        <f t="shared" si="6"/>
        <v/>
      </c>
      <c r="C41" s="496">
        <f>IF(D12="","-",+C40+1)</f>
        <v>2034</v>
      </c>
      <c r="D41" s="509">
        <f>IF(F40+SUM(E$17:E40)=D$10,F40,D$10-SUM(E$17:E40))</f>
        <v>298266.6506084287</v>
      </c>
      <c r="E41" s="510">
        <f>IF(+I14&lt;F40,I14,D41)</f>
        <v>21288.764705882353</v>
      </c>
      <c r="F41" s="511">
        <f t="shared" si="13"/>
        <v>276977.88590254635</v>
      </c>
      <c r="G41" s="512">
        <f t="shared" si="14"/>
        <v>51896.706413276697</v>
      </c>
      <c r="H41" s="478">
        <f t="shared" si="15"/>
        <v>51896.706413276697</v>
      </c>
      <c r="I41" s="501">
        <f t="shared" si="0"/>
        <v>0</v>
      </c>
      <c r="J41" s="501"/>
      <c r="K41" s="513"/>
      <c r="L41" s="505">
        <f t="shared" si="2"/>
        <v>0</v>
      </c>
      <c r="M41" s="513"/>
      <c r="N41" s="505">
        <f t="shared" si="4"/>
        <v>0</v>
      </c>
      <c r="O41" s="505">
        <f t="shared" si="5"/>
        <v>0</v>
      </c>
      <c r="P41" s="279"/>
      <c r="R41" s="244"/>
      <c r="S41" s="244"/>
      <c r="T41" s="244"/>
      <c r="U41" s="244"/>
    </row>
    <row r="42" spans="2:21">
      <c r="B42" s="145" t="str">
        <f t="shared" si="6"/>
        <v/>
      </c>
      <c r="C42" s="496">
        <f>IF(D13="","-",+C41+1)</f>
        <v>2035</v>
      </c>
      <c r="D42" s="509">
        <f>IF(F41+SUM(E$17:E41)=D$10,F41,D$10-SUM(E$17:E41))</f>
        <v>276977.88590254635</v>
      </c>
      <c r="E42" s="510">
        <f>IF(+I14&lt;F41,I14,D42)</f>
        <v>21288.764705882353</v>
      </c>
      <c r="F42" s="511">
        <f t="shared" si="13"/>
        <v>255689.121196664</v>
      </c>
      <c r="G42" s="512">
        <f t="shared" si="14"/>
        <v>49631.216772671833</v>
      </c>
      <c r="H42" s="478">
        <f t="shared" si="15"/>
        <v>49631.216772671833</v>
      </c>
      <c r="I42" s="501">
        <f t="shared" si="0"/>
        <v>0</v>
      </c>
      <c r="J42" s="501"/>
      <c r="K42" s="513"/>
      <c r="L42" s="505">
        <f t="shared" si="2"/>
        <v>0</v>
      </c>
      <c r="M42" s="513"/>
      <c r="N42" s="505">
        <f t="shared" si="4"/>
        <v>0</v>
      </c>
      <c r="O42" s="505">
        <f t="shared" si="5"/>
        <v>0</v>
      </c>
      <c r="P42" s="279"/>
      <c r="R42" s="244"/>
      <c r="S42" s="244"/>
      <c r="T42" s="244"/>
      <c r="U42" s="244"/>
    </row>
    <row r="43" spans="2:21">
      <c r="B43" s="145" t="str">
        <f t="shared" si="6"/>
        <v/>
      </c>
      <c r="C43" s="496">
        <f>IF(D11="","-",+C42+1)</f>
        <v>2036</v>
      </c>
      <c r="D43" s="509">
        <f>IF(F42+SUM(E$17:E42)=D$10,F42,D$10-SUM(E$17:E42))</f>
        <v>255689.121196664</v>
      </c>
      <c r="E43" s="510">
        <f>IF(+I14&lt;F42,I14,D43)</f>
        <v>21288.764705882353</v>
      </c>
      <c r="F43" s="511">
        <f t="shared" si="13"/>
        <v>234400.35649078165</v>
      </c>
      <c r="G43" s="512">
        <f t="shared" si="14"/>
        <v>47365.727132066968</v>
      </c>
      <c r="H43" s="478">
        <f t="shared" si="15"/>
        <v>47365.727132066968</v>
      </c>
      <c r="I43" s="501">
        <f t="shared" si="0"/>
        <v>0</v>
      </c>
      <c r="J43" s="501"/>
      <c r="K43" s="513"/>
      <c r="L43" s="505">
        <f t="shared" si="2"/>
        <v>0</v>
      </c>
      <c r="M43" s="513"/>
      <c r="N43" s="505">
        <f t="shared" si="4"/>
        <v>0</v>
      </c>
      <c r="O43" s="505">
        <f t="shared" si="5"/>
        <v>0</v>
      </c>
      <c r="P43" s="279"/>
      <c r="R43" s="244"/>
      <c r="S43" s="244"/>
      <c r="T43" s="244"/>
      <c r="U43" s="244"/>
    </row>
    <row r="44" spans="2:21">
      <c r="B44" s="145" t="str">
        <f t="shared" si="6"/>
        <v/>
      </c>
      <c r="C44" s="496">
        <f>IF(D11="","-",+C43+1)</f>
        <v>2037</v>
      </c>
      <c r="D44" s="509">
        <f>IF(F43+SUM(E$17:E43)=D$10,F43,D$10-SUM(E$17:E43))</f>
        <v>234400.35649078165</v>
      </c>
      <c r="E44" s="510">
        <f>IF(+I14&lt;F43,I14,D44)</f>
        <v>21288.764705882353</v>
      </c>
      <c r="F44" s="511">
        <f t="shared" si="13"/>
        <v>213111.5917848993</v>
      </c>
      <c r="G44" s="512">
        <f t="shared" si="14"/>
        <v>45100.237491462096</v>
      </c>
      <c r="H44" s="478">
        <f t="shared" si="15"/>
        <v>45100.237491462096</v>
      </c>
      <c r="I44" s="501">
        <f t="shared" si="0"/>
        <v>0</v>
      </c>
      <c r="J44" s="501"/>
      <c r="K44" s="513"/>
      <c r="L44" s="505">
        <f t="shared" si="2"/>
        <v>0</v>
      </c>
      <c r="M44" s="513"/>
      <c r="N44" s="505">
        <f t="shared" si="4"/>
        <v>0</v>
      </c>
      <c r="O44" s="505">
        <f t="shared" si="5"/>
        <v>0</v>
      </c>
      <c r="P44" s="279"/>
      <c r="R44" s="244"/>
      <c r="S44" s="244"/>
      <c r="T44" s="244"/>
      <c r="U44" s="244"/>
    </row>
    <row r="45" spans="2:21">
      <c r="B45" s="145" t="str">
        <f t="shared" si="6"/>
        <v/>
      </c>
      <c r="C45" s="496">
        <f>IF(D11="","-",+C44+1)</f>
        <v>2038</v>
      </c>
      <c r="D45" s="509">
        <f>IF(F44+SUM(E$17:E44)=D$10,F44,D$10-SUM(E$17:E44))</f>
        <v>213111.5917848993</v>
      </c>
      <c r="E45" s="510">
        <f>IF(+I14&lt;F44,I14,D45)</f>
        <v>21288.764705882353</v>
      </c>
      <c r="F45" s="511">
        <f t="shared" si="13"/>
        <v>191822.82707901695</v>
      </c>
      <c r="G45" s="512">
        <f t="shared" si="14"/>
        <v>42834.747850857231</v>
      </c>
      <c r="H45" s="478">
        <f t="shared" si="15"/>
        <v>42834.747850857231</v>
      </c>
      <c r="I45" s="501">
        <f t="shared" si="0"/>
        <v>0</v>
      </c>
      <c r="J45" s="501"/>
      <c r="K45" s="513"/>
      <c r="L45" s="505">
        <f t="shared" si="2"/>
        <v>0</v>
      </c>
      <c r="M45" s="513"/>
      <c r="N45" s="505">
        <f t="shared" si="4"/>
        <v>0</v>
      </c>
      <c r="O45" s="505">
        <f t="shared" si="5"/>
        <v>0</v>
      </c>
      <c r="P45" s="279"/>
      <c r="R45" s="244"/>
      <c r="S45" s="244"/>
      <c r="T45" s="244"/>
      <c r="U45" s="244"/>
    </row>
    <row r="46" spans="2:21">
      <c r="B46" s="145" t="str">
        <f t="shared" si="6"/>
        <v/>
      </c>
      <c r="C46" s="496">
        <f>IF(D11="","-",+C45+1)</f>
        <v>2039</v>
      </c>
      <c r="D46" s="509">
        <f>IF(F45+SUM(E$17:E45)=D$10,F45,D$10-SUM(E$17:E45))</f>
        <v>191822.82707901695</v>
      </c>
      <c r="E46" s="510">
        <f>IF(+I14&lt;F45,I14,D46)</f>
        <v>21288.764705882353</v>
      </c>
      <c r="F46" s="511">
        <f t="shared" si="13"/>
        <v>170534.0623731346</v>
      </c>
      <c r="G46" s="512">
        <f t="shared" si="14"/>
        <v>40569.258210252359</v>
      </c>
      <c r="H46" s="478">
        <f t="shared" si="15"/>
        <v>40569.258210252359</v>
      </c>
      <c r="I46" s="501">
        <f t="shared" si="0"/>
        <v>0</v>
      </c>
      <c r="J46" s="501"/>
      <c r="K46" s="513"/>
      <c r="L46" s="505">
        <f t="shared" si="2"/>
        <v>0</v>
      </c>
      <c r="M46" s="513"/>
      <c r="N46" s="505">
        <f t="shared" si="4"/>
        <v>0</v>
      </c>
      <c r="O46" s="505">
        <f t="shared" si="5"/>
        <v>0</v>
      </c>
      <c r="P46" s="279"/>
      <c r="R46" s="244"/>
      <c r="S46" s="244"/>
      <c r="T46" s="244"/>
      <c r="U46" s="244"/>
    </row>
    <row r="47" spans="2:21">
      <c r="B47" s="145" t="str">
        <f t="shared" si="6"/>
        <v/>
      </c>
      <c r="C47" s="496">
        <f>IF(D11="","-",+C46+1)</f>
        <v>2040</v>
      </c>
      <c r="D47" s="509">
        <f>IF(F46+SUM(E$17:E46)=D$10,F46,D$10-SUM(E$17:E46))</f>
        <v>170534.0623731346</v>
      </c>
      <c r="E47" s="510">
        <f>IF(+I14&lt;F46,I14,D47)</f>
        <v>21288.764705882353</v>
      </c>
      <c r="F47" s="511">
        <f t="shared" si="13"/>
        <v>149245.29766725225</v>
      </c>
      <c r="G47" s="512">
        <f t="shared" si="14"/>
        <v>38303.768569647495</v>
      </c>
      <c r="H47" s="478">
        <f t="shared" si="15"/>
        <v>38303.768569647495</v>
      </c>
      <c r="I47" s="501">
        <f t="shared" si="0"/>
        <v>0</v>
      </c>
      <c r="J47" s="501"/>
      <c r="K47" s="513"/>
      <c r="L47" s="505">
        <f t="shared" si="2"/>
        <v>0</v>
      </c>
      <c r="M47" s="513"/>
      <c r="N47" s="505">
        <f t="shared" si="4"/>
        <v>0</v>
      </c>
      <c r="O47" s="505">
        <f t="shared" si="5"/>
        <v>0</v>
      </c>
      <c r="P47" s="279"/>
      <c r="R47" s="244"/>
      <c r="S47" s="244"/>
      <c r="T47" s="244"/>
      <c r="U47" s="244"/>
    </row>
    <row r="48" spans="2:21">
      <c r="B48" s="145" t="str">
        <f t="shared" si="6"/>
        <v/>
      </c>
      <c r="C48" s="496">
        <f>IF(D11="","-",+C47+1)</f>
        <v>2041</v>
      </c>
      <c r="D48" s="509">
        <f>IF(F47+SUM(E$17:E47)=D$10,F47,D$10-SUM(E$17:E47))</f>
        <v>149245.29766725225</v>
      </c>
      <c r="E48" s="510">
        <f>IF(+I14&lt;F47,I14,D48)</f>
        <v>21288.764705882353</v>
      </c>
      <c r="F48" s="511">
        <f t="shared" si="13"/>
        <v>127956.5329613699</v>
      </c>
      <c r="G48" s="512">
        <f t="shared" si="14"/>
        <v>36038.27892904263</v>
      </c>
      <c r="H48" s="478">
        <f t="shared" si="15"/>
        <v>36038.27892904263</v>
      </c>
      <c r="I48" s="501">
        <f t="shared" si="0"/>
        <v>0</v>
      </c>
      <c r="J48" s="501"/>
      <c r="K48" s="513"/>
      <c r="L48" s="505">
        <f t="shared" si="2"/>
        <v>0</v>
      </c>
      <c r="M48" s="513"/>
      <c r="N48" s="505">
        <f t="shared" si="4"/>
        <v>0</v>
      </c>
      <c r="O48" s="505">
        <f t="shared" si="5"/>
        <v>0</v>
      </c>
      <c r="P48" s="279"/>
      <c r="R48" s="244"/>
      <c r="S48" s="244"/>
      <c r="T48" s="244"/>
      <c r="U48" s="244"/>
    </row>
    <row r="49" spans="2:21">
      <c r="B49" s="145" t="str">
        <f t="shared" si="6"/>
        <v/>
      </c>
      <c r="C49" s="496">
        <f>IF(D11="","-",+C48+1)</f>
        <v>2042</v>
      </c>
      <c r="D49" s="509">
        <f>IF(F48+SUM(E$17:E48)=D$10,F48,D$10-SUM(E$17:E48))</f>
        <v>127956.5329613699</v>
      </c>
      <c r="E49" s="510">
        <f>IF(+I14&lt;F48,I14,D49)</f>
        <v>21288.764705882353</v>
      </c>
      <c r="F49" s="511">
        <f t="shared" si="13"/>
        <v>106667.76825548755</v>
      </c>
      <c r="G49" s="512">
        <f t="shared" si="14"/>
        <v>33772.789288437765</v>
      </c>
      <c r="H49" s="478">
        <f t="shared" si="15"/>
        <v>33772.789288437765</v>
      </c>
      <c r="I49" s="501">
        <f t="shared" si="0"/>
        <v>0</v>
      </c>
      <c r="J49" s="501"/>
      <c r="K49" s="513"/>
      <c r="L49" s="505">
        <f t="shared" si="2"/>
        <v>0</v>
      </c>
      <c r="M49" s="513"/>
      <c r="N49" s="505">
        <f t="shared" si="4"/>
        <v>0</v>
      </c>
      <c r="O49" s="505">
        <f t="shared" si="5"/>
        <v>0</v>
      </c>
      <c r="P49" s="279"/>
      <c r="R49" s="244"/>
      <c r="S49" s="244"/>
      <c r="T49" s="244"/>
      <c r="U49" s="244"/>
    </row>
    <row r="50" spans="2:21">
      <c r="B50" s="145" t="str">
        <f t="shared" si="6"/>
        <v/>
      </c>
      <c r="C50" s="496">
        <f>IF(D11="","-",+C49+1)</f>
        <v>2043</v>
      </c>
      <c r="D50" s="509">
        <f>IF(F49+SUM(E$17:E49)=D$10,F49,D$10-SUM(E$17:E49))</f>
        <v>106667.76825548755</v>
      </c>
      <c r="E50" s="510">
        <f>IF(+I14&lt;F49,I14,D50)</f>
        <v>21288.764705882353</v>
      </c>
      <c r="F50" s="511">
        <f t="shared" ref="F50:F73" si="16">+D50-E50</f>
        <v>85379.003549605201</v>
      </c>
      <c r="G50" s="512">
        <f t="shared" si="14"/>
        <v>31507.299647832893</v>
      </c>
      <c r="H50" s="478">
        <f t="shared" si="15"/>
        <v>31507.299647832893</v>
      </c>
      <c r="I50" s="501">
        <f t="shared" ref="I50:I73" si="17">H50-G50</f>
        <v>0</v>
      </c>
      <c r="J50" s="501"/>
      <c r="K50" s="513"/>
      <c r="L50" s="505">
        <f t="shared" ref="L50:L73" si="18">IF(K50&lt;&gt;0,+G50-K50,0)</f>
        <v>0</v>
      </c>
      <c r="M50" s="513"/>
      <c r="N50" s="505">
        <f t="shared" ref="N50:N73" si="19">IF(M50&lt;&gt;0,+H50-M50,0)</f>
        <v>0</v>
      </c>
      <c r="O50" s="505">
        <f t="shared" ref="O50:O73" si="20">+N50-L50</f>
        <v>0</v>
      </c>
      <c r="P50" s="279"/>
      <c r="R50" s="244"/>
      <c r="S50" s="244"/>
      <c r="T50" s="244"/>
      <c r="U50" s="244"/>
    </row>
    <row r="51" spans="2:21">
      <c r="B51" s="145" t="str">
        <f t="shared" si="6"/>
        <v/>
      </c>
      <c r="C51" s="496">
        <f>IF(D11="","-",+C50+1)</f>
        <v>2044</v>
      </c>
      <c r="D51" s="509">
        <f>IF(F50+SUM(E$17:E50)=D$10,F50,D$10-SUM(E$17:E50))</f>
        <v>85379.003549605201</v>
      </c>
      <c r="E51" s="510">
        <f>IF(+I14&lt;F50,I14,D51)</f>
        <v>21288.764705882353</v>
      </c>
      <c r="F51" s="511">
        <f t="shared" si="16"/>
        <v>64090.238843722851</v>
      </c>
      <c r="G51" s="512">
        <f t="shared" si="14"/>
        <v>29241.810007228029</v>
      </c>
      <c r="H51" s="478">
        <f t="shared" si="15"/>
        <v>29241.810007228029</v>
      </c>
      <c r="I51" s="501">
        <f t="shared" si="17"/>
        <v>0</v>
      </c>
      <c r="J51" s="501"/>
      <c r="K51" s="513"/>
      <c r="L51" s="505">
        <f t="shared" si="18"/>
        <v>0</v>
      </c>
      <c r="M51" s="513"/>
      <c r="N51" s="505">
        <f t="shared" si="19"/>
        <v>0</v>
      </c>
      <c r="O51" s="505">
        <f t="shared" si="20"/>
        <v>0</v>
      </c>
      <c r="P51" s="279"/>
      <c r="R51" s="244"/>
      <c r="S51" s="244"/>
      <c r="T51" s="244"/>
      <c r="U51" s="244"/>
    </row>
    <row r="52" spans="2:21">
      <c r="B52" s="145" t="str">
        <f t="shared" si="6"/>
        <v/>
      </c>
      <c r="C52" s="496">
        <f>IF(D11="","-",+C51+1)</f>
        <v>2045</v>
      </c>
      <c r="D52" s="509">
        <f>IF(F51+SUM(E$17:E51)=D$10,F51,D$10-SUM(E$17:E51))</f>
        <v>64090.238843722851</v>
      </c>
      <c r="E52" s="510">
        <f>IF(+I14&lt;F51,I14,D52)</f>
        <v>21288.764705882353</v>
      </c>
      <c r="F52" s="511">
        <f t="shared" si="16"/>
        <v>42801.474137840501</v>
      </c>
      <c r="G52" s="512">
        <f t="shared" si="14"/>
        <v>26976.32036662316</v>
      </c>
      <c r="H52" s="478">
        <f t="shared" si="15"/>
        <v>26976.32036662316</v>
      </c>
      <c r="I52" s="501">
        <f t="shared" si="17"/>
        <v>0</v>
      </c>
      <c r="J52" s="501"/>
      <c r="K52" s="513"/>
      <c r="L52" s="505">
        <f t="shared" si="18"/>
        <v>0</v>
      </c>
      <c r="M52" s="513"/>
      <c r="N52" s="505">
        <f t="shared" si="19"/>
        <v>0</v>
      </c>
      <c r="O52" s="505">
        <f t="shared" si="20"/>
        <v>0</v>
      </c>
      <c r="P52" s="279"/>
      <c r="R52" s="244"/>
      <c r="S52" s="244"/>
      <c r="T52" s="244"/>
      <c r="U52" s="244"/>
    </row>
    <row r="53" spans="2:21">
      <c r="B53" s="145" t="str">
        <f t="shared" si="6"/>
        <v/>
      </c>
      <c r="C53" s="496">
        <f>IF(D11="","-",+C52+1)</f>
        <v>2046</v>
      </c>
      <c r="D53" s="509">
        <f>IF(F52+SUM(E$17:E52)=D$10,F52,D$10-SUM(E$17:E52))</f>
        <v>42801.474137840501</v>
      </c>
      <c r="E53" s="510">
        <f>IF(+I14&lt;F52,I14,D53)</f>
        <v>21288.764705882353</v>
      </c>
      <c r="F53" s="511">
        <f t="shared" si="16"/>
        <v>21512.709431958148</v>
      </c>
      <c r="G53" s="512">
        <f t="shared" si="14"/>
        <v>24710.830726018296</v>
      </c>
      <c r="H53" s="478">
        <f t="shared" si="15"/>
        <v>24710.830726018296</v>
      </c>
      <c r="I53" s="501">
        <f t="shared" si="17"/>
        <v>0</v>
      </c>
      <c r="J53" s="501"/>
      <c r="K53" s="513"/>
      <c r="L53" s="505">
        <f t="shared" si="18"/>
        <v>0</v>
      </c>
      <c r="M53" s="513"/>
      <c r="N53" s="505">
        <f t="shared" si="19"/>
        <v>0</v>
      </c>
      <c r="O53" s="505">
        <f t="shared" si="20"/>
        <v>0</v>
      </c>
      <c r="P53" s="279"/>
      <c r="R53" s="244"/>
      <c r="S53" s="244"/>
      <c r="T53" s="244"/>
      <c r="U53" s="244"/>
    </row>
    <row r="54" spans="2:21">
      <c r="B54" s="145" t="str">
        <f t="shared" si="6"/>
        <v/>
      </c>
      <c r="C54" s="496">
        <f>IF(D11="","-",+C53+1)</f>
        <v>2047</v>
      </c>
      <c r="D54" s="509">
        <f>IF(F53+SUM(E$17:E53)=D$10,F53,D$10-SUM(E$17:E53))</f>
        <v>21512.709431958148</v>
      </c>
      <c r="E54" s="510">
        <f>IF(+I14&lt;F53,I14,D54)</f>
        <v>21288.764705882353</v>
      </c>
      <c r="F54" s="511">
        <f t="shared" si="16"/>
        <v>223.94472607579519</v>
      </c>
      <c r="G54" s="512">
        <f t="shared" si="14"/>
        <v>22445.341085413427</v>
      </c>
      <c r="H54" s="478">
        <f t="shared" si="15"/>
        <v>22445.341085413427</v>
      </c>
      <c r="I54" s="501">
        <f t="shared" si="17"/>
        <v>0</v>
      </c>
      <c r="J54" s="501"/>
      <c r="K54" s="513"/>
      <c r="L54" s="505">
        <f t="shared" si="18"/>
        <v>0</v>
      </c>
      <c r="M54" s="513"/>
      <c r="N54" s="505">
        <f t="shared" si="19"/>
        <v>0</v>
      </c>
      <c r="O54" s="505">
        <f t="shared" si="20"/>
        <v>0</v>
      </c>
      <c r="P54" s="279"/>
      <c r="R54" s="244"/>
      <c r="S54" s="244"/>
      <c r="T54" s="244"/>
      <c r="U54" s="244"/>
    </row>
    <row r="55" spans="2:21">
      <c r="B55" s="145" t="str">
        <f t="shared" si="6"/>
        <v/>
      </c>
      <c r="C55" s="496">
        <f>IF(D11="","-",+C54+1)</f>
        <v>2048</v>
      </c>
      <c r="D55" s="509">
        <f>IF(F54+SUM(E$17:E54)=D$10,F54,D$10-SUM(E$17:E54))</f>
        <v>223.94472607579519</v>
      </c>
      <c r="E55" s="510">
        <f>IF(+I14&lt;F54,I14,D55)</f>
        <v>223.94472607579519</v>
      </c>
      <c r="F55" s="511">
        <f t="shared" si="16"/>
        <v>0</v>
      </c>
      <c r="G55" s="512">
        <f t="shared" si="14"/>
        <v>235.86050569011502</v>
      </c>
      <c r="H55" s="478">
        <f t="shared" si="15"/>
        <v>235.86050569011502</v>
      </c>
      <c r="I55" s="501">
        <f t="shared" si="17"/>
        <v>0</v>
      </c>
      <c r="J55" s="501"/>
      <c r="K55" s="513"/>
      <c r="L55" s="505">
        <f t="shared" si="18"/>
        <v>0</v>
      </c>
      <c r="M55" s="513"/>
      <c r="N55" s="505">
        <f t="shared" si="19"/>
        <v>0</v>
      </c>
      <c r="O55" s="505">
        <f t="shared" si="20"/>
        <v>0</v>
      </c>
      <c r="P55" s="279"/>
      <c r="R55" s="244"/>
      <c r="S55" s="244"/>
      <c r="T55" s="244"/>
      <c r="U55" s="244"/>
    </row>
    <row r="56" spans="2:21">
      <c r="B56" s="145" t="str">
        <f t="shared" si="6"/>
        <v/>
      </c>
      <c r="C56" s="496">
        <f>IF(D11="","-",+C55+1)</f>
        <v>2049</v>
      </c>
      <c r="D56" s="509">
        <f>IF(F55+SUM(E$17:E55)=D$10,F55,D$10-SUM(E$17:E55))</f>
        <v>0</v>
      </c>
      <c r="E56" s="510">
        <f>IF(+I14&lt;F55,I14,D56)</f>
        <v>0</v>
      </c>
      <c r="F56" s="511">
        <f t="shared" si="16"/>
        <v>0</v>
      </c>
      <c r="G56" s="512">
        <f t="shared" si="14"/>
        <v>0</v>
      </c>
      <c r="H56" s="478">
        <f t="shared" si="15"/>
        <v>0</v>
      </c>
      <c r="I56" s="501">
        <f t="shared" si="17"/>
        <v>0</v>
      </c>
      <c r="J56" s="501"/>
      <c r="K56" s="513"/>
      <c r="L56" s="505">
        <f t="shared" si="18"/>
        <v>0</v>
      </c>
      <c r="M56" s="513"/>
      <c r="N56" s="505">
        <f t="shared" si="19"/>
        <v>0</v>
      </c>
      <c r="O56" s="505">
        <f t="shared" si="20"/>
        <v>0</v>
      </c>
      <c r="P56" s="279"/>
      <c r="R56" s="244"/>
      <c r="S56" s="244"/>
      <c r="T56" s="244"/>
      <c r="U56" s="244"/>
    </row>
    <row r="57" spans="2:21">
      <c r="B57" s="145" t="str">
        <f t="shared" si="6"/>
        <v/>
      </c>
      <c r="C57" s="496">
        <f>IF(D11="","-",+C56+1)</f>
        <v>2050</v>
      </c>
      <c r="D57" s="509">
        <f>IF(F56+SUM(E$17:E56)=D$10,F56,D$10-SUM(E$17:E56))</f>
        <v>0</v>
      </c>
      <c r="E57" s="510">
        <f>IF(+I14&lt;F56,I14,D57)</f>
        <v>0</v>
      </c>
      <c r="F57" s="511">
        <f t="shared" si="16"/>
        <v>0</v>
      </c>
      <c r="G57" s="512">
        <f t="shared" si="14"/>
        <v>0</v>
      </c>
      <c r="H57" s="478">
        <f t="shared" si="15"/>
        <v>0</v>
      </c>
      <c r="I57" s="501">
        <f t="shared" si="17"/>
        <v>0</v>
      </c>
      <c r="J57" s="501"/>
      <c r="K57" s="513"/>
      <c r="L57" s="505">
        <f t="shared" si="18"/>
        <v>0</v>
      </c>
      <c r="M57" s="513"/>
      <c r="N57" s="505">
        <f t="shared" si="19"/>
        <v>0</v>
      </c>
      <c r="O57" s="505">
        <f t="shared" si="20"/>
        <v>0</v>
      </c>
      <c r="P57" s="279"/>
      <c r="R57" s="244"/>
      <c r="S57" s="244"/>
      <c r="T57" s="244"/>
      <c r="U57" s="244"/>
    </row>
    <row r="58" spans="2:21">
      <c r="B58" s="145" t="str">
        <f t="shared" si="6"/>
        <v/>
      </c>
      <c r="C58" s="496">
        <f>IF(D11="","-",+C57+1)</f>
        <v>2051</v>
      </c>
      <c r="D58" s="509">
        <f>IF(F57+SUM(E$17:E57)=D$10,F57,D$10-SUM(E$17:E57))</f>
        <v>0</v>
      </c>
      <c r="E58" s="510">
        <f>IF(+I14&lt;F57,I14,D58)</f>
        <v>0</v>
      </c>
      <c r="F58" s="511">
        <f t="shared" si="16"/>
        <v>0</v>
      </c>
      <c r="G58" s="512">
        <f t="shared" si="14"/>
        <v>0</v>
      </c>
      <c r="H58" s="478">
        <f t="shared" si="15"/>
        <v>0</v>
      </c>
      <c r="I58" s="501">
        <f t="shared" si="17"/>
        <v>0</v>
      </c>
      <c r="J58" s="501"/>
      <c r="K58" s="513"/>
      <c r="L58" s="505">
        <f t="shared" si="18"/>
        <v>0</v>
      </c>
      <c r="M58" s="513"/>
      <c r="N58" s="505">
        <f t="shared" si="19"/>
        <v>0</v>
      </c>
      <c r="O58" s="505">
        <f t="shared" si="20"/>
        <v>0</v>
      </c>
      <c r="P58" s="279"/>
      <c r="R58" s="244"/>
      <c r="S58" s="244"/>
      <c r="T58" s="244"/>
      <c r="U58" s="244"/>
    </row>
    <row r="59" spans="2:21">
      <c r="B59" s="145" t="str">
        <f t="shared" si="6"/>
        <v/>
      </c>
      <c r="C59" s="496">
        <f>IF(D11="","-",+C58+1)</f>
        <v>2052</v>
      </c>
      <c r="D59" s="509">
        <f>IF(F58+SUM(E$17:E58)=D$10,F58,D$10-SUM(E$17:E58))</f>
        <v>0</v>
      </c>
      <c r="E59" s="510">
        <f>IF(+I14&lt;F58,I14,D59)</f>
        <v>0</v>
      </c>
      <c r="F59" s="511">
        <f t="shared" si="16"/>
        <v>0</v>
      </c>
      <c r="G59" s="512">
        <f t="shared" si="14"/>
        <v>0</v>
      </c>
      <c r="H59" s="478">
        <f t="shared" si="15"/>
        <v>0</v>
      </c>
      <c r="I59" s="501">
        <f t="shared" si="17"/>
        <v>0</v>
      </c>
      <c r="J59" s="501"/>
      <c r="K59" s="513"/>
      <c r="L59" s="505">
        <f t="shared" si="18"/>
        <v>0</v>
      </c>
      <c r="M59" s="513"/>
      <c r="N59" s="505">
        <f t="shared" si="19"/>
        <v>0</v>
      </c>
      <c r="O59" s="505">
        <f t="shared" si="20"/>
        <v>0</v>
      </c>
      <c r="P59" s="279"/>
      <c r="R59" s="244"/>
      <c r="S59" s="244"/>
      <c r="T59" s="244"/>
      <c r="U59" s="244"/>
    </row>
    <row r="60" spans="2:21">
      <c r="B60" s="145" t="str">
        <f t="shared" si="6"/>
        <v/>
      </c>
      <c r="C60" s="496">
        <f>IF(D11="","-",+C59+1)</f>
        <v>2053</v>
      </c>
      <c r="D60" s="509">
        <f>IF(F59+SUM(E$17:E59)=D$10,F59,D$10-SUM(E$17:E59))</f>
        <v>0</v>
      </c>
      <c r="E60" s="510">
        <f>IF(+I14&lt;F59,I14,D60)</f>
        <v>0</v>
      </c>
      <c r="F60" s="511">
        <f t="shared" si="16"/>
        <v>0</v>
      </c>
      <c r="G60" s="512">
        <f t="shared" si="14"/>
        <v>0</v>
      </c>
      <c r="H60" s="478">
        <f t="shared" si="15"/>
        <v>0</v>
      </c>
      <c r="I60" s="501">
        <f t="shared" si="17"/>
        <v>0</v>
      </c>
      <c r="J60" s="501"/>
      <c r="K60" s="513"/>
      <c r="L60" s="505">
        <f t="shared" si="18"/>
        <v>0</v>
      </c>
      <c r="M60" s="513"/>
      <c r="N60" s="505">
        <f t="shared" si="19"/>
        <v>0</v>
      </c>
      <c r="O60" s="505">
        <f t="shared" si="20"/>
        <v>0</v>
      </c>
      <c r="P60" s="279"/>
      <c r="R60" s="244"/>
      <c r="S60" s="244"/>
      <c r="T60" s="244"/>
      <c r="U60" s="244"/>
    </row>
    <row r="61" spans="2:21">
      <c r="B61" s="145" t="str">
        <f t="shared" si="6"/>
        <v/>
      </c>
      <c r="C61" s="496">
        <f>IF(D11="","-",+C60+1)</f>
        <v>2054</v>
      </c>
      <c r="D61" s="509">
        <f>IF(F60+SUM(E$17:E60)=D$10,F60,D$10-SUM(E$17:E60))</f>
        <v>0</v>
      </c>
      <c r="E61" s="510">
        <f>IF(+I14&lt;F60,I14,D61)</f>
        <v>0</v>
      </c>
      <c r="F61" s="511">
        <f t="shared" si="16"/>
        <v>0</v>
      </c>
      <c r="G61" s="512">
        <f t="shared" si="14"/>
        <v>0</v>
      </c>
      <c r="H61" s="478">
        <f t="shared" si="15"/>
        <v>0</v>
      </c>
      <c r="I61" s="501">
        <f t="shared" si="17"/>
        <v>0</v>
      </c>
      <c r="J61" s="501"/>
      <c r="K61" s="513"/>
      <c r="L61" s="505">
        <f t="shared" si="18"/>
        <v>0</v>
      </c>
      <c r="M61" s="513"/>
      <c r="N61" s="505">
        <f t="shared" si="19"/>
        <v>0</v>
      </c>
      <c r="O61" s="505">
        <f t="shared" si="20"/>
        <v>0</v>
      </c>
      <c r="P61" s="279"/>
      <c r="R61" s="244"/>
      <c r="S61" s="244"/>
      <c r="T61" s="244"/>
      <c r="U61" s="244"/>
    </row>
    <row r="62" spans="2:21">
      <c r="B62" s="145" t="str">
        <f t="shared" si="6"/>
        <v/>
      </c>
      <c r="C62" s="496">
        <f>IF(D11="","-",+C61+1)</f>
        <v>2055</v>
      </c>
      <c r="D62" s="509">
        <f>IF(F61+SUM(E$17:E61)=D$10,F61,D$10-SUM(E$17:E61))</f>
        <v>0</v>
      </c>
      <c r="E62" s="510">
        <f>IF(+I14&lt;F61,I14,D62)</f>
        <v>0</v>
      </c>
      <c r="F62" s="511">
        <f t="shared" si="16"/>
        <v>0</v>
      </c>
      <c r="G62" s="524">
        <f t="shared" si="14"/>
        <v>0</v>
      </c>
      <c r="H62" s="478">
        <f t="shared" si="15"/>
        <v>0</v>
      </c>
      <c r="I62" s="501">
        <f t="shared" si="17"/>
        <v>0</v>
      </c>
      <c r="J62" s="501"/>
      <c r="K62" s="513"/>
      <c r="L62" s="505">
        <f t="shared" si="18"/>
        <v>0</v>
      </c>
      <c r="M62" s="513"/>
      <c r="N62" s="505">
        <f t="shared" si="19"/>
        <v>0</v>
      </c>
      <c r="O62" s="505">
        <f t="shared" si="20"/>
        <v>0</v>
      </c>
      <c r="P62" s="279"/>
      <c r="R62" s="244"/>
      <c r="S62" s="244"/>
      <c r="T62" s="244"/>
      <c r="U62" s="244"/>
    </row>
    <row r="63" spans="2:21">
      <c r="B63" s="145" t="str">
        <f t="shared" si="6"/>
        <v/>
      </c>
      <c r="C63" s="496">
        <f>IF(D11="","-",+C62+1)</f>
        <v>2056</v>
      </c>
      <c r="D63" s="509">
        <f>IF(F62+SUM(E$17:E62)=D$10,F62,D$10-SUM(E$17:E62))</f>
        <v>0</v>
      </c>
      <c r="E63" s="510">
        <f>IF(+I14&lt;F62,I14,D63)</f>
        <v>0</v>
      </c>
      <c r="F63" s="511">
        <f t="shared" si="16"/>
        <v>0</v>
      </c>
      <c r="G63" s="524">
        <f t="shared" si="14"/>
        <v>0</v>
      </c>
      <c r="H63" s="478">
        <f t="shared" si="15"/>
        <v>0</v>
      </c>
      <c r="I63" s="501">
        <f t="shared" si="17"/>
        <v>0</v>
      </c>
      <c r="J63" s="501"/>
      <c r="K63" s="513"/>
      <c r="L63" s="505">
        <f t="shared" si="18"/>
        <v>0</v>
      </c>
      <c r="M63" s="513"/>
      <c r="N63" s="505">
        <f t="shared" si="19"/>
        <v>0</v>
      </c>
      <c r="O63" s="505">
        <f t="shared" si="20"/>
        <v>0</v>
      </c>
      <c r="P63" s="279"/>
      <c r="R63" s="244"/>
      <c r="S63" s="244"/>
      <c r="T63" s="244"/>
      <c r="U63" s="244"/>
    </row>
    <row r="64" spans="2:21">
      <c r="B64" s="145" t="str">
        <f t="shared" si="6"/>
        <v/>
      </c>
      <c r="C64" s="496">
        <f>IF(D11="","-",+C63+1)</f>
        <v>2057</v>
      </c>
      <c r="D64" s="509">
        <f>IF(F63+SUM(E$17:E63)=D$10,F63,D$10-SUM(E$17:E63))</f>
        <v>0</v>
      </c>
      <c r="E64" s="510">
        <f>IF(+I14&lt;F63,I14,D64)</f>
        <v>0</v>
      </c>
      <c r="F64" s="511">
        <f t="shared" si="16"/>
        <v>0</v>
      </c>
      <c r="G64" s="524">
        <f t="shared" si="14"/>
        <v>0</v>
      </c>
      <c r="H64" s="478">
        <f t="shared" si="15"/>
        <v>0</v>
      </c>
      <c r="I64" s="501">
        <f t="shared" si="17"/>
        <v>0</v>
      </c>
      <c r="J64" s="501"/>
      <c r="K64" s="513"/>
      <c r="L64" s="505">
        <f t="shared" si="18"/>
        <v>0</v>
      </c>
      <c r="M64" s="513"/>
      <c r="N64" s="505">
        <f t="shared" si="19"/>
        <v>0</v>
      </c>
      <c r="O64" s="505">
        <f t="shared" si="20"/>
        <v>0</v>
      </c>
      <c r="P64" s="279"/>
      <c r="R64" s="244"/>
      <c r="S64" s="244"/>
      <c r="T64" s="244"/>
      <c r="U64" s="244"/>
    </row>
    <row r="65" spans="1:21">
      <c r="B65" s="145" t="str">
        <f t="shared" si="6"/>
        <v/>
      </c>
      <c r="C65" s="496">
        <f>IF(D11="","-",+C64+1)</f>
        <v>2058</v>
      </c>
      <c r="D65" s="509">
        <f>IF(F64+SUM(E$17:E64)=D$10,F64,D$10-SUM(E$17:E64))</f>
        <v>0</v>
      </c>
      <c r="E65" s="510">
        <f>IF(+I14&lt;F64,I14,D65)</f>
        <v>0</v>
      </c>
      <c r="F65" s="511">
        <f t="shared" si="16"/>
        <v>0</v>
      </c>
      <c r="G65" s="524">
        <f t="shared" si="14"/>
        <v>0</v>
      </c>
      <c r="H65" s="478">
        <f t="shared" si="15"/>
        <v>0</v>
      </c>
      <c r="I65" s="501">
        <f t="shared" si="17"/>
        <v>0</v>
      </c>
      <c r="J65" s="501"/>
      <c r="K65" s="513"/>
      <c r="L65" s="505">
        <f t="shared" si="18"/>
        <v>0</v>
      </c>
      <c r="M65" s="513"/>
      <c r="N65" s="505">
        <f t="shared" si="19"/>
        <v>0</v>
      </c>
      <c r="O65" s="505">
        <f t="shared" si="20"/>
        <v>0</v>
      </c>
      <c r="P65" s="279"/>
      <c r="R65" s="244"/>
      <c r="S65" s="244"/>
      <c r="T65" s="244"/>
      <c r="U65" s="244"/>
    </row>
    <row r="66" spans="1:21">
      <c r="B66" s="145" t="str">
        <f t="shared" si="6"/>
        <v/>
      </c>
      <c r="C66" s="496">
        <f>IF(D11="","-",+C65+1)</f>
        <v>2059</v>
      </c>
      <c r="D66" s="509">
        <f>IF(F65+SUM(E$17:E65)=D$10,F65,D$10-SUM(E$17:E65))</f>
        <v>0</v>
      </c>
      <c r="E66" s="510">
        <f>IF(+I14&lt;F65,I14,D66)</f>
        <v>0</v>
      </c>
      <c r="F66" s="511">
        <f t="shared" si="16"/>
        <v>0</v>
      </c>
      <c r="G66" s="524">
        <f t="shared" si="14"/>
        <v>0</v>
      </c>
      <c r="H66" s="478">
        <f t="shared" si="15"/>
        <v>0</v>
      </c>
      <c r="I66" s="501">
        <f t="shared" si="17"/>
        <v>0</v>
      </c>
      <c r="J66" s="501"/>
      <c r="K66" s="513"/>
      <c r="L66" s="505">
        <f t="shared" si="18"/>
        <v>0</v>
      </c>
      <c r="M66" s="513"/>
      <c r="N66" s="505">
        <f t="shared" si="19"/>
        <v>0</v>
      </c>
      <c r="O66" s="505">
        <f t="shared" si="20"/>
        <v>0</v>
      </c>
      <c r="P66" s="279"/>
      <c r="R66" s="244"/>
      <c r="S66" s="244"/>
      <c r="T66" s="244"/>
      <c r="U66" s="244"/>
    </row>
    <row r="67" spans="1:21">
      <c r="B67" s="145" t="str">
        <f t="shared" si="6"/>
        <v/>
      </c>
      <c r="C67" s="496">
        <f>IF(D11="","-",+C66+1)</f>
        <v>2060</v>
      </c>
      <c r="D67" s="509">
        <f>IF(F66+SUM(E$17:E66)=D$10,F66,D$10-SUM(E$17:E66))</f>
        <v>0</v>
      </c>
      <c r="E67" s="510">
        <f>IF(+I14&lt;F66,I14,D67)</f>
        <v>0</v>
      </c>
      <c r="F67" s="511">
        <f t="shared" si="16"/>
        <v>0</v>
      </c>
      <c r="G67" s="524">
        <f t="shared" si="14"/>
        <v>0</v>
      </c>
      <c r="H67" s="478">
        <f t="shared" si="15"/>
        <v>0</v>
      </c>
      <c r="I67" s="501">
        <f t="shared" si="17"/>
        <v>0</v>
      </c>
      <c r="J67" s="501"/>
      <c r="K67" s="513"/>
      <c r="L67" s="505">
        <f t="shared" si="18"/>
        <v>0</v>
      </c>
      <c r="M67" s="513"/>
      <c r="N67" s="505">
        <f t="shared" si="19"/>
        <v>0</v>
      </c>
      <c r="O67" s="505">
        <f t="shared" si="20"/>
        <v>0</v>
      </c>
      <c r="P67" s="279"/>
      <c r="R67" s="244"/>
      <c r="S67" s="244"/>
      <c r="T67" s="244"/>
      <c r="U67" s="244"/>
    </row>
    <row r="68" spans="1:21">
      <c r="B68" s="145" t="str">
        <f t="shared" si="6"/>
        <v/>
      </c>
      <c r="C68" s="496">
        <f>IF(D11="","-",+C67+1)</f>
        <v>2061</v>
      </c>
      <c r="D68" s="509">
        <f>IF(F67+SUM(E$17:E67)=D$10,F67,D$10-SUM(E$17:E67))</f>
        <v>0</v>
      </c>
      <c r="E68" s="510">
        <f>IF(+I14&lt;F67,I14,D68)</f>
        <v>0</v>
      </c>
      <c r="F68" s="511">
        <f t="shared" si="16"/>
        <v>0</v>
      </c>
      <c r="G68" s="524">
        <f t="shared" si="14"/>
        <v>0</v>
      </c>
      <c r="H68" s="478">
        <f t="shared" si="15"/>
        <v>0</v>
      </c>
      <c r="I68" s="501">
        <f t="shared" si="17"/>
        <v>0</v>
      </c>
      <c r="J68" s="501"/>
      <c r="K68" s="513"/>
      <c r="L68" s="505">
        <f t="shared" si="18"/>
        <v>0</v>
      </c>
      <c r="M68" s="513"/>
      <c r="N68" s="505">
        <f t="shared" si="19"/>
        <v>0</v>
      </c>
      <c r="O68" s="505">
        <f t="shared" si="20"/>
        <v>0</v>
      </c>
      <c r="P68" s="279"/>
      <c r="R68" s="244"/>
      <c r="S68" s="244"/>
      <c r="T68" s="244"/>
      <c r="U68" s="244"/>
    </row>
    <row r="69" spans="1:21">
      <c r="B69" s="145" t="str">
        <f t="shared" si="6"/>
        <v/>
      </c>
      <c r="C69" s="496">
        <f>IF(D11="","-",+C68+1)</f>
        <v>2062</v>
      </c>
      <c r="D69" s="509">
        <f>IF(F68+SUM(E$17:E68)=D$10,F68,D$10-SUM(E$17:E68))</f>
        <v>0</v>
      </c>
      <c r="E69" s="510">
        <f>IF(+I14&lt;F68,I14,D69)</f>
        <v>0</v>
      </c>
      <c r="F69" s="511">
        <f t="shared" si="16"/>
        <v>0</v>
      </c>
      <c r="G69" s="524">
        <f t="shared" si="14"/>
        <v>0</v>
      </c>
      <c r="H69" s="478">
        <f t="shared" si="15"/>
        <v>0</v>
      </c>
      <c r="I69" s="501">
        <f t="shared" si="17"/>
        <v>0</v>
      </c>
      <c r="J69" s="501"/>
      <c r="K69" s="513"/>
      <c r="L69" s="505">
        <f t="shared" si="18"/>
        <v>0</v>
      </c>
      <c r="M69" s="513"/>
      <c r="N69" s="505">
        <f t="shared" si="19"/>
        <v>0</v>
      </c>
      <c r="O69" s="505">
        <f t="shared" si="20"/>
        <v>0</v>
      </c>
      <c r="P69" s="279"/>
      <c r="R69" s="244"/>
      <c r="S69" s="244"/>
      <c r="T69" s="244"/>
      <c r="U69" s="244"/>
    </row>
    <row r="70" spans="1:21">
      <c r="B70" s="145" t="str">
        <f t="shared" si="6"/>
        <v/>
      </c>
      <c r="C70" s="496">
        <f>IF(D11="","-",+C69+1)</f>
        <v>2063</v>
      </c>
      <c r="D70" s="509">
        <f>IF(F69+SUM(E$17:E69)=D$10,F69,D$10-SUM(E$17:E69))</f>
        <v>0</v>
      </c>
      <c r="E70" s="510">
        <f>IF(+I14&lt;F69,I14,D70)</f>
        <v>0</v>
      </c>
      <c r="F70" s="511">
        <f t="shared" si="16"/>
        <v>0</v>
      </c>
      <c r="G70" s="524">
        <f t="shared" si="14"/>
        <v>0</v>
      </c>
      <c r="H70" s="478">
        <f t="shared" si="15"/>
        <v>0</v>
      </c>
      <c r="I70" s="501">
        <f t="shared" si="17"/>
        <v>0</v>
      </c>
      <c r="J70" s="501"/>
      <c r="K70" s="513"/>
      <c r="L70" s="505">
        <f t="shared" si="18"/>
        <v>0</v>
      </c>
      <c r="M70" s="513"/>
      <c r="N70" s="505">
        <f t="shared" si="19"/>
        <v>0</v>
      </c>
      <c r="O70" s="505">
        <f t="shared" si="20"/>
        <v>0</v>
      </c>
      <c r="P70" s="279"/>
      <c r="R70" s="244"/>
      <c r="S70" s="244"/>
      <c r="T70" s="244"/>
      <c r="U70" s="244"/>
    </row>
    <row r="71" spans="1:21">
      <c r="B71" s="145" t="str">
        <f t="shared" si="6"/>
        <v/>
      </c>
      <c r="C71" s="496">
        <f>IF(D11="","-",+C70+1)</f>
        <v>2064</v>
      </c>
      <c r="D71" s="509">
        <f>IF(F70+SUM(E$17:E70)=D$10,F70,D$10-SUM(E$17:E70))</f>
        <v>0</v>
      </c>
      <c r="E71" s="510">
        <f>IF(+I14&lt;F70,I14,D71)</f>
        <v>0</v>
      </c>
      <c r="F71" s="511">
        <f t="shared" si="16"/>
        <v>0</v>
      </c>
      <c r="G71" s="524">
        <f t="shared" si="14"/>
        <v>0</v>
      </c>
      <c r="H71" s="478">
        <f t="shared" si="15"/>
        <v>0</v>
      </c>
      <c r="I71" s="501">
        <f t="shared" si="17"/>
        <v>0</v>
      </c>
      <c r="J71" s="501"/>
      <c r="K71" s="513"/>
      <c r="L71" s="505">
        <f t="shared" si="18"/>
        <v>0</v>
      </c>
      <c r="M71" s="513"/>
      <c r="N71" s="505">
        <f t="shared" si="19"/>
        <v>0</v>
      </c>
      <c r="O71" s="505">
        <f t="shared" si="20"/>
        <v>0</v>
      </c>
      <c r="P71" s="279"/>
      <c r="R71" s="244"/>
      <c r="S71" s="244"/>
      <c r="T71" s="244"/>
      <c r="U71" s="244"/>
    </row>
    <row r="72" spans="1:21">
      <c r="B72" s="145" t="str">
        <f t="shared" si="6"/>
        <v/>
      </c>
      <c r="C72" s="496">
        <f>IF(D11="","-",+C71+1)</f>
        <v>2065</v>
      </c>
      <c r="D72" s="509">
        <f>IF(F71+SUM(E$17:E71)=D$10,F71,D$10-SUM(E$17:E71))</f>
        <v>0</v>
      </c>
      <c r="E72" s="510">
        <f>IF(+I14&lt;F71,I14,D72)</f>
        <v>0</v>
      </c>
      <c r="F72" s="511">
        <f t="shared" si="16"/>
        <v>0</v>
      </c>
      <c r="G72" s="524">
        <f t="shared" si="14"/>
        <v>0</v>
      </c>
      <c r="H72" s="478">
        <f t="shared" si="15"/>
        <v>0</v>
      </c>
      <c r="I72" s="501">
        <f t="shared" si="17"/>
        <v>0</v>
      </c>
      <c r="J72" s="501"/>
      <c r="K72" s="513"/>
      <c r="L72" s="505">
        <f t="shared" si="18"/>
        <v>0</v>
      </c>
      <c r="M72" s="513"/>
      <c r="N72" s="505">
        <f t="shared" si="19"/>
        <v>0</v>
      </c>
      <c r="O72" s="505">
        <f t="shared" si="20"/>
        <v>0</v>
      </c>
      <c r="P72" s="279"/>
      <c r="R72" s="244"/>
      <c r="S72" s="244"/>
      <c r="T72" s="244"/>
      <c r="U72" s="244"/>
    </row>
    <row r="73" spans="1:21" ht="13.5" thickBot="1">
      <c r="B73" s="145" t="str">
        <f t="shared" si="6"/>
        <v/>
      </c>
      <c r="C73" s="525">
        <f>IF(D11="","-",+C72+1)</f>
        <v>2066</v>
      </c>
      <c r="D73" s="526">
        <f>IF(F72+SUM(E$17:E72)=D$10,F72,D$10-SUM(E$17:E72))</f>
        <v>0</v>
      </c>
      <c r="E73" s="527">
        <f>IF(+I14&lt;F72,I14,D73)</f>
        <v>0</v>
      </c>
      <c r="F73" s="528">
        <f t="shared" si="16"/>
        <v>0</v>
      </c>
      <c r="G73" s="529">
        <f t="shared" si="14"/>
        <v>0</v>
      </c>
      <c r="H73" s="459">
        <f t="shared" si="15"/>
        <v>0</v>
      </c>
      <c r="I73" s="530">
        <f t="shared" si="17"/>
        <v>0</v>
      </c>
      <c r="J73" s="501"/>
      <c r="K73" s="531"/>
      <c r="L73" s="532">
        <f t="shared" si="18"/>
        <v>0</v>
      </c>
      <c r="M73" s="531"/>
      <c r="N73" s="532">
        <f t="shared" si="19"/>
        <v>0</v>
      </c>
      <c r="O73" s="532">
        <f t="shared" si="20"/>
        <v>0</v>
      </c>
      <c r="P73" s="279"/>
      <c r="R73" s="244"/>
      <c r="S73" s="244"/>
      <c r="T73" s="244"/>
      <c r="U73" s="244"/>
    </row>
    <row r="74" spans="1:21">
      <c r="C74" s="350" t="s">
        <v>75</v>
      </c>
      <c r="D74" s="295"/>
      <c r="E74" s="295">
        <f>SUM(E17:E73)</f>
        <v>723818.00000000047</v>
      </c>
      <c r="F74" s="295"/>
      <c r="G74" s="295">
        <f>SUM(G17:G73)</f>
        <v>2380938.9185119634</v>
      </c>
      <c r="H74" s="295">
        <f>SUM(H17:H73)</f>
        <v>2380938.9185119634</v>
      </c>
      <c r="I74" s="295">
        <f>SUM(I17:I73)</f>
        <v>0</v>
      </c>
      <c r="J74" s="295"/>
      <c r="K74" s="295"/>
      <c r="L74" s="295"/>
      <c r="M74" s="295"/>
      <c r="N74" s="295"/>
      <c r="O74" s="279"/>
      <c r="P74" s="279"/>
      <c r="R74" s="244"/>
      <c r="S74" s="244"/>
      <c r="T74" s="244"/>
      <c r="U74" s="244"/>
    </row>
    <row r="75" spans="1:21">
      <c r="D75" s="293"/>
      <c r="E75" s="244"/>
      <c r="F75" s="244"/>
      <c r="G75" s="244"/>
      <c r="H75" s="326"/>
      <c r="I75" s="326"/>
      <c r="J75" s="295"/>
      <c r="K75" s="326"/>
      <c r="L75" s="326"/>
      <c r="M75" s="326"/>
      <c r="N75" s="326"/>
      <c r="O75" s="244"/>
      <c r="P75" s="244"/>
      <c r="R75" s="244"/>
      <c r="S75" s="244"/>
      <c r="T75" s="244"/>
      <c r="U75" s="244"/>
    </row>
    <row r="76" spans="1:21">
      <c r="C76" s="533" t="s">
        <v>95</v>
      </c>
      <c r="D76" s="293"/>
      <c r="E76" s="244"/>
      <c r="F76" s="244"/>
      <c r="G76" s="244"/>
      <c r="H76" s="326"/>
      <c r="I76" s="326"/>
      <c r="J76" s="295"/>
      <c r="K76" s="326"/>
      <c r="L76" s="326"/>
      <c r="M76" s="326"/>
      <c r="N76" s="326"/>
      <c r="O76" s="244"/>
      <c r="P76" s="244"/>
      <c r="R76" s="244"/>
      <c r="S76" s="244"/>
      <c r="T76" s="244"/>
      <c r="U76" s="244"/>
    </row>
    <row r="77" spans="1:21">
      <c r="C77" s="455" t="s">
        <v>76</v>
      </c>
      <c r="D77" s="293"/>
      <c r="E77" s="244"/>
      <c r="F77" s="244"/>
      <c r="G77" s="244"/>
      <c r="H77" s="326"/>
      <c r="I77" s="326"/>
      <c r="J77" s="295"/>
      <c r="K77" s="326"/>
      <c r="L77" s="326"/>
      <c r="M77" s="326"/>
      <c r="N77" s="326"/>
      <c r="O77" s="279"/>
      <c r="P77" s="279"/>
      <c r="R77" s="244"/>
      <c r="S77" s="244"/>
      <c r="T77" s="244"/>
      <c r="U77" s="244"/>
    </row>
    <row r="78" spans="1:21" ht="18">
      <c r="C78" s="455" t="s">
        <v>77</v>
      </c>
      <c r="D78" s="350"/>
      <c r="E78" s="350"/>
      <c r="F78" s="350"/>
      <c r="G78" s="295"/>
      <c r="H78" s="295"/>
      <c r="I78" s="351"/>
      <c r="J78" s="351"/>
      <c r="K78" s="351"/>
      <c r="L78" s="351"/>
      <c r="M78" s="351"/>
      <c r="N78" s="351"/>
      <c r="O78" s="534"/>
      <c r="P78" s="279"/>
      <c r="R78" s="244"/>
      <c r="S78" s="244"/>
      <c r="T78" s="244"/>
      <c r="U78" s="244"/>
    </row>
    <row r="79" spans="1:21">
      <c r="C79" s="455"/>
      <c r="D79" s="350"/>
      <c r="E79" s="350"/>
      <c r="F79" s="350"/>
      <c r="G79" s="295"/>
      <c r="H79" s="295"/>
      <c r="I79" s="351"/>
      <c r="J79" s="351"/>
      <c r="K79" s="351"/>
      <c r="L79" s="351"/>
      <c r="M79" s="351"/>
      <c r="N79" s="351"/>
      <c r="O79" s="279"/>
      <c r="P79" s="244"/>
      <c r="R79" s="244"/>
      <c r="S79" s="244"/>
      <c r="T79" s="244"/>
      <c r="U79" s="244"/>
    </row>
    <row r="80" spans="1:21" ht="15">
      <c r="A80" s="535"/>
      <c r="B80" s="244"/>
      <c r="C80" s="249"/>
      <c r="D80" s="293"/>
      <c r="E80" s="244"/>
      <c r="F80" s="348"/>
      <c r="G80" s="244"/>
      <c r="H80" s="326"/>
      <c r="I80" s="244"/>
      <c r="J80" s="279"/>
      <c r="K80" s="244"/>
      <c r="L80" s="244"/>
      <c r="M80" s="244"/>
      <c r="N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536"/>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1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84115.442190341273</v>
      </c>
      <c r="N88" s="545">
        <f>IF(J93&lt;D11,0,VLOOKUP(J93,C17:O73,11))</f>
        <v>84115.442190341273</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93394.372694725258</v>
      </c>
      <c r="N89" s="549">
        <f>IF(J93&lt;D11,0,VLOOKUP(J93,C100:P155,7))</f>
        <v>93394.372694725258</v>
      </c>
      <c r="O89" s="550">
        <f>+N89-M89</f>
        <v>0</v>
      </c>
      <c r="P89" s="244"/>
      <c r="Q89" s="244"/>
      <c r="R89" s="244"/>
      <c r="S89" s="244"/>
      <c r="T89" s="244"/>
      <c r="U89" s="244"/>
    </row>
    <row r="90" spans="1:21" ht="13.5" thickBot="1">
      <c r="C90" s="455" t="s">
        <v>82</v>
      </c>
      <c r="D90" s="551" t="str">
        <f>+D7</f>
        <v>Snyder 138 kV Terminal Addition</v>
      </c>
      <c r="E90" s="244"/>
      <c r="F90" s="244"/>
      <c r="G90" s="244"/>
      <c r="H90" s="244"/>
      <c r="I90" s="326"/>
      <c r="J90" s="326"/>
      <c r="K90" s="552"/>
      <c r="L90" s="553" t="s">
        <v>135</v>
      </c>
      <c r="M90" s="554">
        <f>+M89-M88</f>
        <v>9278.930504383985</v>
      </c>
      <c r="N90" s="554">
        <f>+N89-N88</f>
        <v>9278.930504383985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TP2009013</v>
      </c>
      <c r="E92" s="559"/>
      <c r="F92" s="559"/>
      <c r="G92" s="559"/>
      <c r="H92" s="559"/>
      <c r="I92" s="559"/>
      <c r="J92" s="560"/>
      <c r="K92" s="561"/>
      <c r="P92" s="469"/>
      <c r="Q92" s="244"/>
      <c r="R92" s="244"/>
      <c r="S92" s="244"/>
      <c r="T92" s="244"/>
      <c r="U92" s="244"/>
    </row>
    <row r="93" spans="1:21">
      <c r="C93" s="473" t="s">
        <v>49</v>
      </c>
      <c r="D93" s="471">
        <f>IF(D11=I10,0,D10)</f>
        <v>723818</v>
      </c>
      <c r="E93" s="249" t="s">
        <v>84</v>
      </c>
      <c r="H93" s="409"/>
      <c r="I93" s="409"/>
      <c r="J93" s="472">
        <f>+'OKT.WS.G.BPU.ATRR.True-up'!M16</f>
        <v>2021</v>
      </c>
      <c r="K93" s="468"/>
      <c r="L93" s="295" t="s">
        <v>85</v>
      </c>
      <c r="P93" s="279"/>
      <c r="Q93" s="244"/>
      <c r="R93" s="244"/>
      <c r="S93" s="244"/>
      <c r="T93" s="244"/>
      <c r="U93" s="244"/>
    </row>
    <row r="94" spans="1:21">
      <c r="C94" s="473" t="s">
        <v>52</v>
      </c>
      <c r="D94" s="562">
        <f>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D12</f>
        <v>12</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f>+D14</f>
        <v>0</v>
      </c>
      <c r="E97" s="564" t="s">
        <v>62</v>
      </c>
      <c r="F97" s="565"/>
      <c r="G97" s="565"/>
      <c r="H97" s="566"/>
      <c r="I97" s="566"/>
      <c r="J97" s="459">
        <f>IF(D93=0,0,D93/D96)</f>
        <v>28952.720000000001</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IF(D100=F99,"","IU")</f>
        <v>IU</v>
      </c>
      <c r="C100" s="496">
        <f>IF(D94= "","-",D94)</f>
        <v>2010</v>
      </c>
      <c r="D100" s="497">
        <v>0</v>
      </c>
      <c r="E100" s="499">
        <v>0</v>
      </c>
      <c r="F100" s="506">
        <v>634790</v>
      </c>
      <c r="G100" s="572">
        <v>317395</v>
      </c>
      <c r="H100" s="572">
        <v>107896.39563165967</v>
      </c>
      <c r="I100" s="572">
        <v>107896.39563165967</v>
      </c>
      <c r="J100" s="505">
        <f t="shared" ref="J100:J131" si="21">+I100-H100</f>
        <v>0</v>
      </c>
      <c r="K100" s="505"/>
      <c r="L100" s="507">
        <f t="shared" ref="L100:L105" si="22">H100</f>
        <v>107896.39563165967</v>
      </c>
      <c r="M100" s="508">
        <f>IF(L100&lt;&gt;0,+H100-L100,0)</f>
        <v>0</v>
      </c>
      <c r="N100" s="507">
        <f t="shared" ref="N100:N105" si="23">I100</f>
        <v>107896.39563165967</v>
      </c>
      <c r="O100" s="504">
        <f t="shared" ref="O100:O131" si="24">IF(N100&lt;&gt;0,+I100-N100,0)</f>
        <v>0</v>
      </c>
      <c r="P100" s="504">
        <f t="shared" ref="P100:P131" si="25">+O100-M100</f>
        <v>0</v>
      </c>
      <c r="Q100" s="244"/>
      <c r="R100" s="244"/>
      <c r="S100" s="244"/>
      <c r="T100" s="244"/>
      <c r="U100" s="244"/>
    </row>
    <row r="101" spans="1:21">
      <c r="B101" s="145" t="str">
        <f t="shared" ref="B101:B155" si="26">IF(D101=F100,"","IU")</f>
        <v/>
      </c>
      <c r="C101" s="496">
        <f>IF(D94="","-",+C100+1)</f>
        <v>2011</v>
      </c>
      <c r="D101" s="497">
        <v>634790</v>
      </c>
      <c r="E101" s="499">
        <v>12180.958103448274</v>
      </c>
      <c r="F101" s="506">
        <v>622609.04189655173</v>
      </c>
      <c r="G101" s="506">
        <v>628699.52094827592</v>
      </c>
      <c r="H101" s="499">
        <v>58926.291922257748</v>
      </c>
      <c r="I101" s="500">
        <v>58926.291922257748</v>
      </c>
      <c r="J101" s="505">
        <v>0</v>
      </c>
      <c r="K101" s="505"/>
      <c r="L101" s="507">
        <f t="shared" si="22"/>
        <v>58926.291922257748</v>
      </c>
      <c r="M101" s="505">
        <f t="shared" ref="M101:M131" si="27">IF(L101&lt;&gt;0,+H101-L101,0)</f>
        <v>0</v>
      </c>
      <c r="N101" s="507">
        <f t="shared" si="23"/>
        <v>58926.291922257748</v>
      </c>
      <c r="O101" s="505">
        <f t="shared" si="24"/>
        <v>0</v>
      </c>
      <c r="P101" s="505">
        <f t="shared" si="25"/>
        <v>0</v>
      </c>
      <c r="Q101" s="244"/>
      <c r="R101" s="244"/>
      <c r="S101" s="244"/>
      <c r="T101" s="244"/>
      <c r="U101" s="244"/>
    </row>
    <row r="102" spans="1:21">
      <c r="B102" s="145" t="str">
        <f t="shared" si="26"/>
        <v>IU</v>
      </c>
      <c r="C102" s="496">
        <f>IF(D94="","-",+C101+1)</f>
        <v>2012</v>
      </c>
      <c r="D102" s="497">
        <v>711637.04189655173</v>
      </c>
      <c r="E102" s="499">
        <v>12479.620689655172</v>
      </c>
      <c r="F102" s="506">
        <v>699157.42120689654</v>
      </c>
      <c r="G102" s="506">
        <v>705397.23155172414</v>
      </c>
      <c r="H102" s="499">
        <v>83971.238209738236</v>
      </c>
      <c r="I102" s="500">
        <v>83971.238209738236</v>
      </c>
      <c r="J102" s="505">
        <v>0</v>
      </c>
      <c r="K102" s="505"/>
      <c r="L102" s="507">
        <f t="shared" si="22"/>
        <v>83971.238209738236</v>
      </c>
      <c r="M102" s="505">
        <f t="shared" ref="M102:M107" si="28">IF(L102&lt;&gt;0,+H102-L102,0)</f>
        <v>0</v>
      </c>
      <c r="N102" s="507">
        <f t="shared" si="23"/>
        <v>83971.238209738236</v>
      </c>
      <c r="O102" s="505">
        <f>IF(N102&lt;&gt;0,+I102-N102,0)</f>
        <v>0</v>
      </c>
      <c r="P102" s="505">
        <f>+O102-M102</f>
        <v>0</v>
      </c>
      <c r="Q102" s="244"/>
      <c r="R102" s="244"/>
      <c r="S102" s="244"/>
      <c r="T102" s="244"/>
      <c r="U102" s="244"/>
    </row>
    <row r="103" spans="1:21">
      <c r="B103" s="145" t="str">
        <f t="shared" si="26"/>
        <v/>
      </c>
      <c r="C103" s="496">
        <f>IF(D94="","-",+C102+1)</f>
        <v>2013</v>
      </c>
      <c r="D103" s="497">
        <v>699157.42120689654</v>
      </c>
      <c r="E103" s="499">
        <v>12479.620689655172</v>
      </c>
      <c r="F103" s="506">
        <v>686677.80051724135</v>
      </c>
      <c r="G103" s="506">
        <v>692917.61086206895</v>
      </c>
      <c r="H103" s="499">
        <v>91236.605288625666</v>
      </c>
      <c r="I103" s="500">
        <v>91236.605288625666</v>
      </c>
      <c r="J103" s="505">
        <v>0</v>
      </c>
      <c r="K103" s="505"/>
      <c r="L103" s="507">
        <f t="shared" si="22"/>
        <v>91236.605288625666</v>
      </c>
      <c r="M103" s="505">
        <f t="shared" si="28"/>
        <v>0</v>
      </c>
      <c r="N103" s="507">
        <f t="shared" si="23"/>
        <v>91236.605288625666</v>
      </c>
      <c r="O103" s="505">
        <f>IF(N103&lt;&gt;0,+I103-N103,0)</f>
        <v>0</v>
      </c>
      <c r="P103" s="505">
        <f>+O103-M103</f>
        <v>0</v>
      </c>
      <c r="Q103" s="244"/>
      <c r="R103" s="244"/>
      <c r="S103" s="244"/>
      <c r="T103" s="244"/>
      <c r="U103" s="244"/>
    </row>
    <row r="104" spans="1:21">
      <c r="B104" s="145" t="str">
        <f t="shared" si="26"/>
        <v/>
      </c>
      <c r="C104" s="496">
        <f>IF(D94="","-",+C103+1)</f>
        <v>2014</v>
      </c>
      <c r="D104" s="497">
        <v>686677.80051724135</v>
      </c>
      <c r="E104" s="499">
        <v>12479.620689655172</v>
      </c>
      <c r="F104" s="506">
        <v>674198.17982758617</v>
      </c>
      <c r="G104" s="506">
        <v>680437.99017241376</v>
      </c>
      <c r="H104" s="499">
        <v>85656.254524456934</v>
      </c>
      <c r="I104" s="500">
        <v>85656.254524456934</v>
      </c>
      <c r="J104" s="505">
        <v>0</v>
      </c>
      <c r="K104" s="505"/>
      <c r="L104" s="507">
        <f t="shared" si="22"/>
        <v>85656.254524456934</v>
      </c>
      <c r="M104" s="505">
        <f t="shared" si="28"/>
        <v>0</v>
      </c>
      <c r="N104" s="507">
        <f t="shared" si="23"/>
        <v>85656.254524456934</v>
      </c>
      <c r="O104" s="505">
        <f>IF(N104&lt;&gt;0,+I104-N104,0)</f>
        <v>0</v>
      </c>
      <c r="P104" s="505">
        <f>+O104-M104</f>
        <v>0</v>
      </c>
      <c r="Q104" s="244"/>
      <c r="R104" s="244"/>
      <c r="S104" s="244"/>
      <c r="T104" s="244"/>
      <c r="U104" s="244"/>
    </row>
    <row r="105" spans="1:21">
      <c r="B105" s="145" t="str">
        <f t="shared" si="26"/>
        <v/>
      </c>
      <c r="C105" s="496">
        <f>IF(D94="","-",+C104+1)</f>
        <v>2015</v>
      </c>
      <c r="D105" s="497">
        <v>674198.17982758617</v>
      </c>
      <c r="E105" s="499">
        <v>15079.541666666666</v>
      </c>
      <c r="F105" s="506">
        <v>659118.63816091954</v>
      </c>
      <c r="G105" s="506">
        <v>666658.40899425279</v>
      </c>
      <c r="H105" s="499">
        <v>89298.24140660846</v>
      </c>
      <c r="I105" s="500">
        <v>89298.24140660846</v>
      </c>
      <c r="J105" s="505">
        <f t="shared" si="21"/>
        <v>0</v>
      </c>
      <c r="K105" s="505"/>
      <c r="L105" s="507">
        <f t="shared" si="22"/>
        <v>89298.24140660846</v>
      </c>
      <c r="M105" s="505">
        <f t="shared" si="28"/>
        <v>0</v>
      </c>
      <c r="N105" s="507">
        <f t="shared" si="23"/>
        <v>89298.24140660846</v>
      </c>
      <c r="O105" s="505">
        <f t="shared" si="24"/>
        <v>0</v>
      </c>
      <c r="P105" s="505">
        <f t="shared" si="25"/>
        <v>0</v>
      </c>
      <c r="Q105" s="244"/>
      <c r="R105" s="244"/>
      <c r="S105" s="244"/>
      <c r="T105" s="244"/>
      <c r="U105" s="244"/>
    </row>
    <row r="106" spans="1:21">
      <c r="B106" s="145" t="str">
        <f t="shared" si="26"/>
        <v/>
      </c>
      <c r="C106" s="496">
        <f>IF(D94="","-",+C105+1)</f>
        <v>2016</v>
      </c>
      <c r="D106" s="497">
        <v>659118.63816091954</v>
      </c>
      <c r="E106" s="499">
        <v>14192.509803921568</v>
      </c>
      <c r="F106" s="506">
        <v>644926.12835699797</v>
      </c>
      <c r="G106" s="506">
        <v>652022.38325895881</v>
      </c>
      <c r="H106" s="499">
        <v>84851.823004071382</v>
      </c>
      <c r="I106" s="500">
        <v>84851.823004071382</v>
      </c>
      <c r="J106" s="505">
        <f t="shared" si="21"/>
        <v>0</v>
      </c>
      <c r="K106" s="505"/>
      <c r="L106" s="507">
        <f>H106</f>
        <v>84851.823004071382</v>
      </c>
      <c r="M106" s="505">
        <f t="shared" si="28"/>
        <v>0</v>
      </c>
      <c r="N106" s="507">
        <f>I106</f>
        <v>84851.823004071382</v>
      </c>
      <c r="O106" s="505">
        <f>IF(N106&lt;&gt;0,+I106-N106,0)</f>
        <v>0</v>
      </c>
      <c r="P106" s="505">
        <f>+O106-M106</f>
        <v>0</v>
      </c>
      <c r="Q106" s="244"/>
      <c r="R106" s="244"/>
      <c r="S106" s="244"/>
      <c r="T106" s="244"/>
      <c r="U106" s="244"/>
    </row>
    <row r="107" spans="1:21">
      <c r="B107" s="145" t="str">
        <f t="shared" si="26"/>
        <v/>
      </c>
      <c r="C107" s="496">
        <f>IF(D94="","-",+C106+1)</f>
        <v>2017</v>
      </c>
      <c r="D107" s="497">
        <v>644926.12835699797</v>
      </c>
      <c r="E107" s="499">
        <v>18095.45</v>
      </c>
      <c r="F107" s="506">
        <v>626830.67835699802</v>
      </c>
      <c r="G107" s="506">
        <v>635878.40335699799</v>
      </c>
      <c r="H107" s="499">
        <v>92706.791991345061</v>
      </c>
      <c r="I107" s="500">
        <v>92706.791991345061</v>
      </c>
      <c r="J107" s="505">
        <f t="shared" si="21"/>
        <v>0</v>
      </c>
      <c r="K107" s="505"/>
      <c r="L107" s="507">
        <f>H107</f>
        <v>92706.791991345061</v>
      </c>
      <c r="M107" s="505">
        <f t="shared" si="28"/>
        <v>0</v>
      </c>
      <c r="N107" s="507">
        <f>I107</f>
        <v>92706.791991345061</v>
      </c>
      <c r="O107" s="505">
        <f>IF(N107&lt;&gt;0,+I107-N107,0)</f>
        <v>0</v>
      </c>
      <c r="P107" s="505">
        <f>+O107-M107</f>
        <v>0</v>
      </c>
      <c r="Q107" s="244"/>
      <c r="R107" s="244"/>
      <c r="S107" s="244"/>
      <c r="T107" s="244"/>
      <c r="U107" s="244"/>
    </row>
    <row r="108" spans="1:21">
      <c r="B108" s="145" t="str">
        <f t="shared" si="26"/>
        <v/>
      </c>
      <c r="C108" s="496">
        <f>IF(D94="","-",+C107+1)</f>
        <v>2018</v>
      </c>
      <c r="D108" s="497">
        <v>626830.67835699802</v>
      </c>
      <c r="E108" s="499">
        <v>20106.055555555555</v>
      </c>
      <c r="F108" s="506">
        <v>606724.62280144251</v>
      </c>
      <c r="G108" s="506">
        <v>616777.65057922027</v>
      </c>
      <c r="H108" s="499">
        <v>85214.614900276356</v>
      </c>
      <c r="I108" s="500">
        <v>85214.614900276356</v>
      </c>
      <c r="J108" s="505">
        <f t="shared" si="21"/>
        <v>0</v>
      </c>
      <c r="K108" s="505"/>
      <c r="L108" s="507">
        <f>H108</f>
        <v>85214.614900276356</v>
      </c>
      <c r="M108" s="505">
        <f t="shared" ref="M108" si="29">IF(L108&lt;&gt;0,+H108-L108,0)</f>
        <v>0</v>
      </c>
      <c r="N108" s="507">
        <f>I108</f>
        <v>85214.614900276356</v>
      </c>
      <c r="O108" s="505">
        <f>IF(N108&lt;&gt;0,+I108-N108,0)</f>
        <v>0</v>
      </c>
      <c r="P108" s="505">
        <f>+O108-M108</f>
        <v>0</v>
      </c>
      <c r="Q108" s="244"/>
      <c r="R108" s="244"/>
      <c r="S108" s="244"/>
      <c r="T108" s="244"/>
      <c r="U108" s="244"/>
    </row>
    <row r="109" spans="1:21">
      <c r="B109" s="145" t="str">
        <f t="shared" si="26"/>
        <v/>
      </c>
      <c r="C109" s="496">
        <f>IF(D94="","-",+C108+1)</f>
        <v>2019</v>
      </c>
      <c r="D109" s="497">
        <v>606724.62280144251</v>
      </c>
      <c r="E109" s="499">
        <v>20106.055555555555</v>
      </c>
      <c r="F109" s="506">
        <v>586618.56724588701</v>
      </c>
      <c r="G109" s="506">
        <v>596671.59502366476</v>
      </c>
      <c r="H109" s="499">
        <v>83092.170434109707</v>
      </c>
      <c r="I109" s="500">
        <v>83092.170434109707</v>
      </c>
      <c r="J109" s="505">
        <f t="shared" si="21"/>
        <v>0</v>
      </c>
      <c r="K109" s="505"/>
      <c r="L109" s="507">
        <f>H109</f>
        <v>83092.170434109707</v>
      </c>
      <c r="M109" s="505">
        <f t="shared" ref="M109" si="30">IF(L109&lt;&gt;0,+H109-L109,0)</f>
        <v>0</v>
      </c>
      <c r="N109" s="507">
        <f>I109</f>
        <v>83092.170434109707</v>
      </c>
      <c r="O109" s="505">
        <f t="shared" si="24"/>
        <v>0</v>
      </c>
      <c r="P109" s="505">
        <f t="shared" si="25"/>
        <v>0</v>
      </c>
      <c r="Q109" s="244"/>
      <c r="R109" s="244"/>
      <c r="S109" s="244"/>
      <c r="T109" s="244"/>
      <c r="U109" s="244"/>
    </row>
    <row r="110" spans="1:21">
      <c r="B110" s="145" t="str">
        <f t="shared" si="26"/>
        <v/>
      </c>
      <c r="C110" s="496">
        <f>IF(D94="","-",+C109+1)</f>
        <v>2020</v>
      </c>
      <c r="D110" s="497">
        <v>586618.56724588701</v>
      </c>
      <c r="E110" s="499">
        <v>25850.642857142859</v>
      </c>
      <c r="F110" s="506">
        <v>560767.92438874417</v>
      </c>
      <c r="G110" s="506">
        <v>573693.24581731553</v>
      </c>
      <c r="H110" s="499">
        <v>86899.348480192144</v>
      </c>
      <c r="I110" s="500">
        <v>86899.348480192144</v>
      </c>
      <c r="J110" s="505">
        <f t="shared" si="21"/>
        <v>0</v>
      </c>
      <c r="K110" s="505"/>
      <c r="L110" s="507">
        <f>H110</f>
        <v>86899.348480192144</v>
      </c>
      <c r="M110" s="505">
        <f t="shared" ref="M110" si="31">IF(L110&lt;&gt;0,+H110-L110,0)</f>
        <v>0</v>
      </c>
      <c r="N110" s="507">
        <f>I110</f>
        <v>86899.348480192144</v>
      </c>
      <c r="O110" s="505">
        <f t="shared" si="24"/>
        <v>0</v>
      </c>
      <c r="P110" s="505">
        <f t="shared" si="25"/>
        <v>0</v>
      </c>
      <c r="Q110" s="244"/>
      <c r="R110" s="244"/>
      <c r="S110" s="244"/>
      <c r="T110" s="244"/>
      <c r="U110" s="244"/>
    </row>
    <row r="111" spans="1:21">
      <c r="B111" s="145" t="str">
        <f t="shared" si="26"/>
        <v/>
      </c>
      <c r="C111" s="496">
        <f>IF(D94="","-",+C110+1)</f>
        <v>2021</v>
      </c>
      <c r="D111" s="350">
        <f>IF(F110+SUM(E$100:E110)=D$93,F110,D$93-SUM(E$100:E110))</f>
        <v>560767.92438874417</v>
      </c>
      <c r="E111" s="510">
        <f>IF(+J97&lt;F110,J97,D111)</f>
        <v>28952.720000000001</v>
      </c>
      <c r="F111" s="511">
        <f t="shared" ref="F111:F131" si="32">+D111-E111</f>
        <v>531815.2043887442</v>
      </c>
      <c r="G111" s="511">
        <f t="shared" ref="G111:G131" si="33">+(F111+D111)/2</f>
        <v>546291.56438874418</v>
      </c>
      <c r="H111" s="646">
        <f t="shared" ref="H111:H154" si="34">(D111+F111)/2*J$95+E111</f>
        <v>93394.372694725258</v>
      </c>
      <c r="I111" s="573">
        <f t="shared" ref="I111:I132" si="35">+J$96*G111+E111</f>
        <v>93394.372694725258</v>
      </c>
      <c r="J111" s="505">
        <f t="shared" si="21"/>
        <v>0</v>
      </c>
      <c r="K111" s="505"/>
      <c r="L111" s="513"/>
      <c r="M111" s="505">
        <f t="shared" si="27"/>
        <v>0</v>
      </c>
      <c r="N111" s="513"/>
      <c r="O111" s="505">
        <f t="shared" si="24"/>
        <v>0</v>
      </c>
      <c r="P111" s="505">
        <f t="shared" si="25"/>
        <v>0</v>
      </c>
      <c r="Q111" s="244"/>
      <c r="R111" s="244"/>
      <c r="S111" s="244"/>
      <c r="T111" s="244"/>
      <c r="U111" s="244"/>
    </row>
    <row r="112" spans="1:21">
      <c r="B112" s="145" t="str">
        <f t="shared" si="26"/>
        <v/>
      </c>
      <c r="C112" s="496">
        <f>IF(D94="","-",+C111+1)</f>
        <v>2022</v>
      </c>
      <c r="D112" s="350">
        <f>IF(F111+SUM(E$100:E111)=D$93,F111,D$93-SUM(E$100:E111))</f>
        <v>531815.2043887442</v>
      </c>
      <c r="E112" s="510">
        <f>IF(+J97&lt;F111,J97,D112)</f>
        <v>28952.720000000001</v>
      </c>
      <c r="F112" s="511">
        <f t="shared" si="32"/>
        <v>502862.48438874423</v>
      </c>
      <c r="G112" s="511">
        <f t="shared" si="33"/>
        <v>517338.84438874421</v>
      </c>
      <c r="H112" s="646">
        <f t="shared" si="34"/>
        <v>89979.051557750965</v>
      </c>
      <c r="I112" s="573">
        <f t="shared" si="35"/>
        <v>89979.051557750965</v>
      </c>
      <c r="J112" s="505">
        <f t="shared" si="21"/>
        <v>0</v>
      </c>
      <c r="K112" s="505"/>
      <c r="L112" s="513"/>
      <c r="M112" s="505">
        <f t="shared" si="27"/>
        <v>0</v>
      </c>
      <c r="N112" s="513"/>
      <c r="O112" s="505">
        <f t="shared" si="24"/>
        <v>0</v>
      </c>
      <c r="P112" s="505">
        <f t="shared" si="25"/>
        <v>0</v>
      </c>
      <c r="Q112" s="244"/>
      <c r="R112" s="244"/>
      <c r="S112" s="244"/>
      <c r="T112" s="244"/>
      <c r="U112" s="244"/>
    </row>
    <row r="113" spans="2:21">
      <c r="B113" s="145" t="str">
        <f t="shared" si="26"/>
        <v/>
      </c>
      <c r="C113" s="496">
        <f>IF(D94="","-",+C112+1)</f>
        <v>2023</v>
      </c>
      <c r="D113" s="350">
        <f>IF(F112+SUM(E$100:E112)=D$93,F112,D$93-SUM(E$100:E112))</f>
        <v>502862.48438874423</v>
      </c>
      <c r="E113" s="510">
        <f>IF(+J97&lt;F112,J97,D113)</f>
        <v>28952.720000000001</v>
      </c>
      <c r="F113" s="511">
        <f t="shared" si="32"/>
        <v>473909.76438874425</v>
      </c>
      <c r="G113" s="511">
        <f t="shared" si="33"/>
        <v>488386.12438874424</v>
      </c>
      <c r="H113" s="646">
        <f t="shared" si="34"/>
        <v>86563.730420776701</v>
      </c>
      <c r="I113" s="573">
        <f t="shared" si="35"/>
        <v>86563.730420776701</v>
      </c>
      <c r="J113" s="505">
        <f t="shared" si="21"/>
        <v>0</v>
      </c>
      <c r="K113" s="505"/>
      <c r="L113" s="513"/>
      <c r="M113" s="505">
        <f t="shared" si="27"/>
        <v>0</v>
      </c>
      <c r="N113" s="513"/>
      <c r="O113" s="505">
        <f t="shared" si="24"/>
        <v>0</v>
      </c>
      <c r="P113" s="505">
        <f t="shared" si="25"/>
        <v>0</v>
      </c>
      <c r="Q113" s="244"/>
      <c r="R113" s="244"/>
      <c r="S113" s="244"/>
      <c r="T113" s="244"/>
      <c r="U113" s="244"/>
    </row>
    <row r="114" spans="2:21">
      <c r="B114" s="145" t="str">
        <f t="shared" si="26"/>
        <v/>
      </c>
      <c r="C114" s="496">
        <f>IF(D94="","-",+C113+1)</f>
        <v>2024</v>
      </c>
      <c r="D114" s="350">
        <f>IF(F113+SUM(E$100:E113)=D$93,F113,D$93-SUM(E$100:E113))</f>
        <v>473909.76438874425</v>
      </c>
      <c r="E114" s="510">
        <f>IF(+J97&lt;F113,J97,D114)</f>
        <v>28952.720000000001</v>
      </c>
      <c r="F114" s="511">
        <f t="shared" si="32"/>
        <v>444957.04438874428</v>
      </c>
      <c r="G114" s="511">
        <f t="shared" si="33"/>
        <v>459433.40438874427</v>
      </c>
      <c r="H114" s="646">
        <f t="shared" si="34"/>
        <v>83148.409283802408</v>
      </c>
      <c r="I114" s="573">
        <f t="shared" si="35"/>
        <v>83148.409283802408</v>
      </c>
      <c r="J114" s="505">
        <f t="shared" si="21"/>
        <v>0</v>
      </c>
      <c r="K114" s="505"/>
      <c r="L114" s="513"/>
      <c r="M114" s="505">
        <f t="shared" si="27"/>
        <v>0</v>
      </c>
      <c r="N114" s="513"/>
      <c r="O114" s="505">
        <f t="shared" si="24"/>
        <v>0</v>
      </c>
      <c r="P114" s="505">
        <f t="shared" si="25"/>
        <v>0</v>
      </c>
      <c r="Q114" s="244"/>
      <c r="R114" s="244"/>
      <c r="S114" s="244"/>
      <c r="T114" s="244"/>
      <c r="U114" s="244"/>
    </row>
    <row r="115" spans="2:21">
      <c r="B115" s="145" t="str">
        <f t="shared" si="26"/>
        <v/>
      </c>
      <c r="C115" s="496">
        <f>IF(D94="","-",+C114+1)</f>
        <v>2025</v>
      </c>
      <c r="D115" s="350">
        <f>IF(F114+SUM(E$100:E114)=D$93,F114,D$93-SUM(E$100:E114))</f>
        <v>444957.04438874428</v>
      </c>
      <c r="E115" s="510">
        <f>IF(+J97&lt;F114,J97,D115)</f>
        <v>28952.720000000001</v>
      </c>
      <c r="F115" s="511">
        <f t="shared" si="32"/>
        <v>416004.32438874431</v>
      </c>
      <c r="G115" s="511">
        <f t="shared" si="33"/>
        <v>430480.6843887443</v>
      </c>
      <c r="H115" s="646">
        <f t="shared" si="34"/>
        <v>79733.088146828144</v>
      </c>
      <c r="I115" s="573">
        <f t="shared" si="35"/>
        <v>79733.088146828144</v>
      </c>
      <c r="J115" s="505">
        <f t="shared" si="21"/>
        <v>0</v>
      </c>
      <c r="K115" s="505"/>
      <c r="L115" s="513"/>
      <c r="M115" s="505">
        <f t="shared" si="27"/>
        <v>0</v>
      </c>
      <c r="N115" s="513"/>
      <c r="O115" s="505">
        <f t="shared" si="24"/>
        <v>0</v>
      </c>
      <c r="P115" s="505">
        <f t="shared" si="25"/>
        <v>0</v>
      </c>
      <c r="Q115" s="244"/>
      <c r="R115" s="244"/>
      <c r="S115" s="244"/>
      <c r="T115" s="244"/>
      <c r="U115" s="244"/>
    </row>
    <row r="116" spans="2:21">
      <c r="B116" s="145" t="str">
        <f t="shared" si="26"/>
        <v/>
      </c>
      <c r="C116" s="496">
        <f>IF(D94="","-",+C115+1)</f>
        <v>2026</v>
      </c>
      <c r="D116" s="350">
        <f>IF(F115+SUM(E$100:E115)=D$93,F115,D$93-SUM(E$100:E115))</f>
        <v>416004.32438874431</v>
      </c>
      <c r="E116" s="510">
        <f>IF(+J97&lt;F115,J97,D116)</f>
        <v>28952.720000000001</v>
      </c>
      <c r="F116" s="511">
        <f t="shared" si="32"/>
        <v>387051.60438874434</v>
      </c>
      <c r="G116" s="511">
        <f t="shared" si="33"/>
        <v>401527.96438874432</v>
      </c>
      <c r="H116" s="646">
        <f t="shared" si="34"/>
        <v>76317.767009853851</v>
      </c>
      <c r="I116" s="573">
        <f t="shared" si="35"/>
        <v>76317.767009853851</v>
      </c>
      <c r="J116" s="505">
        <f t="shared" si="21"/>
        <v>0</v>
      </c>
      <c r="K116" s="505"/>
      <c r="L116" s="513"/>
      <c r="M116" s="505">
        <f t="shared" si="27"/>
        <v>0</v>
      </c>
      <c r="N116" s="513"/>
      <c r="O116" s="505">
        <f t="shared" si="24"/>
        <v>0</v>
      </c>
      <c r="P116" s="505">
        <f t="shared" si="25"/>
        <v>0</v>
      </c>
      <c r="Q116" s="244"/>
      <c r="R116" s="244"/>
      <c r="S116" s="244"/>
      <c r="T116" s="244"/>
      <c r="U116" s="244"/>
    </row>
    <row r="117" spans="2:21">
      <c r="B117" s="145" t="str">
        <f t="shared" si="26"/>
        <v/>
      </c>
      <c r="C117" s="496">
        <f>IF(D94="","-",+C116+1)</f>
        <v>2027</v>
      </c>
      <c r="D117" s="350">
        <f>IF(F116+SUM(E$100:E116)=D$93,F116,D$93-SUM(E$100:E116))</f>
        <v>387051.60438874434</v>
      </c>
      <c r="E117" s="510">
        <f>IF(+J97&lt;F116,J97,D117)</f>
        <v>28952.720000000001</v>
      </c>
      <c r="F117" s="511">
        <f t="shared" si="32"/>
        <v>358098.88438874437</v>
      </c>
      <c r="G117" s="511">
        <f t="shared" si="33"/>
        <v>372575.24438874435</v>
      </c>
      <c r="H117" s="646">
        <f t="shared" si="34"/>
        <v>72902.445872879573</v>
      </c>
      <c r="I117" s="573">
        <f t="shared" si="35"/>
        <v>72902.445872879573</v>
      </c>
      <c r="J117" s="505">
        <f t="shared" si="21"/>
        <v>0</v>
      </c>
      <c r="K117" s="505"/>
      <c r="L117" s="513"/>
      <c r="M117" s="505">
        <f t="shared" si="27"/>
        <v>0</v>
      </c>
      <c r="N117" s="513"/>
      <c r="O117" s="505">
        <f t="shared" si="24"/>
        <v>0</v>
      </c>
      <c r="P117" s="505">
        <f t="shared" si="25"/>
        <v>0</v>
      </c>
      <c r="Q117" s="244"/>
      <c r="R117" s="244"/>
      <c r="S117" s="244"/>
      <c r="T117" s="244"/>
      <c r="U117" s="244"/>
    </row>
    <row r="118" spans="2:21">
      <c r="B118" s="145" t="str">
        <f t="shared" si="26"/>
        <v/>
      </c>
      <c r="C118" s="496">
        <f>IF(D94="","-",+C117+1)</f>
        <v>2028</v>
      </c>
      <c r="D118" s="350">
        <f>IF(F117+SUM(E$100:E117)=D$93,F117,D$93-SUM(E$100:E117))</f>
        <v>358098.88438874437</v>
      </c>
      <c r="E118" s="510">
        <f>IF(+J97&lt;F117,J97,D118)</f>
        <v>28952.720000000001</v>
      </c>
      <c r="F118" s="511">
        <f t="shared" si="32"/>
        <v>329146.16438874439</v>
      </c>
      <c r="G118" s="511">
        <f t="shared" si="33"/>
        <v>343622.52438874438</v>
      </c>
      <c r="H118" s="646">
        <f t="shared" si="34"/>
        <v>69487.124735905294</v>
      </c>
      <c r="I118" s="573">
        <f t="shared" si="35"/>
        <v>69487.124735905294</v>
      </c>
      <c r="J118" s="505">
        <f t="shared" si="21"/>
        <v>0</v>
      </c>
      <c r="K118" s="505"/>
      <c r="L118" s="513"/>
      <c r="M118" s="505">
        <f t="shared" si="27"/>
        <v>0</v>
      </c>
      <c r="N118" s="513"/>
      <c r="O118" s="505">
        <f t="shared" si="24"/>
        <v>0</v>
      </c>
      <c r="P118" s="505">
        <f t="shared" si="25"/>
        <v>0</v>
      </c>
      <c r="Q118" s="244"/>
      <c r="R118" s="244"/>
      <c r="S118" s="244"/>
      <c r="T118" s="244"/>
      <c r="U118" s="244"/>
    </row>
    <row r="119" spans="2:21">
      <c r="B119" s="145" t="str">
        <f t="shared" si="26"/>
        <v/>
      </c>
      <c r="C119" s="496">
        <f>IF(D94="","-",+C118+1)</f>
        <v>2029</v>
      </c>
      <c r="D119" s="350">
        <f>IF(F118+SUM(E$100:E118)=D$93,F118,D$93-SUM(E$100:E118))</f>
        <v>329146.16438874439</v>
      </c>
      <c r="E119" s="510">
        <f>IF(+J97&lt;F118,J97,D119)</f>
        <v>28952.720000000001</v>
      </c>
      <c r="F119" s="511">
        <f t="shared" si="32"/>
        <v>300193.44438874442</v>
      </c>
      <c r="G119" s="511">
        <f t="shared" si="33"/>
        <v>314669.80438874441</v>
      </c>
      <c r="H119" s="646">
        <f t="shared" si="34"/>
        <v>66071.803598931016</v>
      </c>
      <c r="I119" s="573">
        <f t="shared" si="35"/>
        <v>66071.803598931016</v>
      </c>
      <c r="J119" s="505">
        <f t="shared" si="21"/>
        <v>0</v>
      </c>
      <c r="K119" s="505"/>
      <c r="L119" s="513"/>
      <c r="M119" s="505">
        <f t="shared" si="27"/>
        <v>0</v>
      </c>
      <c r="N119" s="513"/>
      <c r="O119" s="505">
        <f t="shared" si="24"/>
        <v>0</v>
      </c>
      <c r="P119" s="505">
        <f t="shared" si="25"/>
        <v>0</v>
      </c>
      <c r="Q119" s="244"/>
      <c r="R119" s="244"/>
      <c r="S119" s="244"/>
      <c r="T119" s="244"/>
      <c r="U119" s="244"/>
    </row>
    <row r="120" spans="2:21">
      <c r="B120" s="145" t="str">
        <f t="shared" si="26"/>
        <v/>
      </c>
      <c r="C120" s="496">
        <f>IF(D94="","-",+C119+1)</f>
        <v>2030</v>
      </c>
      <c r="D120" s="350">
        <f>IF(F119+SUM(E$100:E119)=D$93,F119,D$93-SUM(E$100:E119))</f>
        <v>300193.44438874442</v>
      </c>
      <c r="E120" s="510">
        <f>IF(+J97&lt;F119,J97,D120)</f>
        <v>28952.720000000001</v>
      </c>
      <c r="F120" s="511">
        <f t="shared" si="32"/>
        <v>271240.72438874445</v>
      </c>
      <c r="G120" s="511">
        <f t="shared" si="33"/>
        <v>285717.08438874444</v>
      </c>
      <c r="H120" s="646">
        <f t="shared" si="34"/>
        <v>62656.48246195673</v>
      </c>
      <c r="I120" s="573">
        <f t="shared" si="35"/>
        <v>62656.48246195673</v>
      </c>
      <c r="J120" s="505">
        <f t="shared" si="21"/>
        <v>0</v>
      </c>
      <c r="K120" s="505"/>
      <c r="L120" s="513"/>
      <c r="M120" s="505">
        <f t="shared" si="27"/>
        <v>0</v>
      </c>
      <c r="N120" s="513"/>
      <c r="O120" s="505">
        <f t="shared" si="24"/>
        <v>0</v>
      </c>
      <c r="P120" s="505">
        <f t="shared" si="25"/>
        <v>0</v>
      </c>
      <c r="Q120" s="244"/>
      <c r="R120" s="244"/>
      <c r="S120" s="244"/>
      <c r="T120" s="244"/>
      <c r="U120" s="244"/>
    </row>
    <row r="121" spans="2:21">
      <c r="B121" s="145" t="str">
        <f t="shared" si="26"/>
        <v/>
      </c>
      <c r="C121" s="496">
        <f>IF(D94="","-",+C120+1)</f>
        <v>2031</v>
      </c>
      <c r="D121" s="350">
        <f>IF(F120+SUM(E$100:E120)=D$93,F120,D$93-SUM(E$100:E120))</f>
        <v>271240.72438874445</v>
      </c>
      <c r="E121" s="510">
        <f>IF(+J97&lt;F120,J97,D121)</f>
        <v>28952.720000000001</v>
      </c>
      <c r="F121" s="511">
        <f t="shared" si="32"/>
        <v>242288.00438874445</v>
      </c>
      <c r="G121" s="511">
        <f t="shared" si="33"/>
        <v>256764.36438874446</v>
      </c>
      <c r="H121" s="646">
        <f t="shared" si="34"/>
        <v>59241.161324982459</v>
      </c>
      <c r="I121" s="573">
        <f t="shared" si="35"/>
        <v>59241.161324982459</v>
      </c>
      <c r="J121" s="505">
        <f t="shared" si="21"/>
        <v>0</v>
      </c>
      <c r="K121" s="505"/>
      <c r="L121" s="513"/>
      <c r="M121" s="505">
        <f t="shared" si="27"/>
        <v>0</v>
      </c>
      <c r="N121" s="513"/>
      <c r="O121" s="505">
        <f t="shared" si="24"/>
        <v>0</v>
      </c>
      <c r="P121" s="505">
        <f t="shared" si="25"/>
        <v>0</v>
      </c>
      <c r="Q121" s="244"/>
      <c r="R121" s="244"/>
      <c r="S121" s="244"/>
      <c r="T121" s="244"/>
      <c r="U121" s="244"/>
    </row>
    <row r="122" spans="2:21">
      <c r="B122" s="145" t="str">
        <f t="shared" si="26"/>
        <v/>
      </c>
      <c r="C122" s="496">
        <f>IF(D94="","-",+C121+1)</f>
        <v>2032</v>
      </c>
      <c r="D122" s="350">
        <f>IF(F121+SUM(E$100:E121)=D$93,F121,D$93-SUM(E$100:E121))</f>
        <v>242288.00438874445</v>
      </c>
      <c r="E122" s="510">
        <f>IF(+J97&lt;F121,J97,D122)</f>
        <v>28952.720000000001</v>
      </c>
      <c r="F122" s="511">
        <f t="shared" si="32"/>
        <v>213335.28438874445</v>
      </c>
      <c r="G122" s="511">
        <f t="shared" si="33"/>
        <v>227811.64438874443</v>
      </c>
      <c r="H122" s="646">
        <f t="shared" si="34"/>
        <v>55825.840188008166</v>
      </c>
      <c r="I122" s="573">
        <f t="shared" si="35"/>
        <v>55825.840188008166</v>
      </c>
      <c r="J122" s="505">
        <f t="shared" si="21"/>
        <v>0</v>
      </c>
      <c r="K122" s="505"/>
      <c r="L122" s="513"/>
      <c r="M122" s="505">
        <f t="shared" si="27"/>
        <v>0</v>
      </c>
      <c r="N122" s="513"/>
      <c r="O122" s="505">
        <f t="shared" si="24"/>
        <v>0</v>
      </c>
      <c r="P122" s="505">
        <f t="shared" si="25"/>
        <v>0</v>
      </c>
      <c r="Q122" s="244"/>
      <c r="R122" s="244"/>
      <c r="S122" s="244"/>
      <c r="T122" s="244"/>
      <c r="U122" s="244"/>
    </row>
    <row r="123" spans="2:21">
      <c r="B123" s="145" t="str">
        <f t="shared" si="26"/>
        <v/>
      </c>
      <c r="C123" s="496">
        <f>IF(D94="","-",+C122+1)</f>
        <v>2033</v>
      </c>
      <c r="D123" s="350">
        <f>IF(F122+SUM(E$100:E122)=D$93,F122,D$93-SUM(E$100:E122))</f>
        <v>213335.28438874445</v>
      </c>
      <c r="E123" s="510">
        <f>IF(+J97&lt;F122,J97,D123)</f>
        <v>28952.720000000001</v>
      </c>
      <c r="F123" s="511">
        <f t="shared" si="32"/>
        <v>184382.56438874445</v>
      </c>
      <c r="G123" s="511">
        <f t="shared" si="33"/>
        <v>198858.92438874446</v>
      </c>
      <c r="H123" s="646">
        <f t="shared" si="34"/>
        <v>52410.519051033887</v>
      </c>
      <c r="I123" s="573">
        <f t="shared" si="35"/>
        <v>52410.519051033887</v>
      </c>
      <c r="J123" s="505">
        <f t="shared" si="21"/>
        <v>0</v>
      </c>
      <c r="K123" s="505"/>
      <c r="L123" s="513"/>
      <c r="M123" s="505">
        <f t="shared" si="27"/>
        <v>0</v>
      </c>
      <c r="N123" s="513"/>
      <c r="O123" s="505">
        <f t="shared" si="24"/>
        <v>0</v>
      </c>
      <c r="P123" s="505">
        <f t="shared" si="25"/>
        <v>0</v>
      </c>
      <c r="Q123" s="244"/>
      <c r="R123" s="244"/>
      <c r="S123" s="244"/>
      <c r="T123" s="244"/>
      <c r="U123" s="244"/>
    </row>
    <row r="124" spans="2:21">
      <c r="B124" s="145" t="str">
        <f t="shared" si="26"/>
        <v/>
      </c>
      <c r="C124" s="496">
        <f>IF(D94="","-",+C123+1)</f>
        <v>2034</v>
      </c>
      <c r="D124" s="350">
        <f>IF(F123+SUM(E$100:E123)=D$93,F123,D$93-SUM(E$100:E123))</f>
        <v>184382.56438874445</v>
      </c>
      <c r="E124" s="510">
        <f>IF(+J97&lt;F123,J97,D124)</f>
        <v>28952.720000000001</v>
      </c>
      <c r="F124" s="511">
        <f t="shared" si="32"/>
        <v>155429.84438874444</v>
      </c>
      <c r="G124" s="511">
        <f t="shared" si="33"/>
        <v>169906.20438874443</v>
      </c>
      <c r="H124" s="646">
        <f t="shared" si="34"/>
        <v>48995.197914059594</v>
      </c>
      <c r="I124" s="573">
        <f t="shared" si="35"/>
        <v>48995.197914059594</v>
      </c>
      <c r="J124" s="505">
        <f t="shared" si="21"/>
        <v>0</v>
      </c>
      <c r="K124" s="505"/>
      <c r="L124" s="513"/>
      <c r="M124" s="505">
        <f t="shared" si="27"/>
        <v>0</v>
      </c>
      <c r="N124" s="513"/>
      <c r="O124" s="505">
        <f t="shared" si="24"/>
        <v>0</v>
      </c>
      <c r="P124" s="505">
        <f t="shared" si="25"/>
        <v>0</v>
      </c>
      <c r="Q124" s="244"/>
      <c r="R124" s="244"/>
      <c r="S124" s="244"/>
      <c r="T124" s="244"/>
      <c r="U124" s="244"/>
    </row>
    <row r="125" spans="2:21">
      <c r="B125" s="145" t="str">
        <f t="shared" si="26"/>
        <v/>
      </c>
      <c r="C125" s="496">
        <f>IF(D94="","-",+C124+1)</f>
        <v>2035</v>
      </c>
      <c r="D125" s="350">
        <f>IF(F124+SUM(E$100:E124)=D$93,F124,D$93-SUM(E$100:E124))</f>
        <v>155429.84438874444</v>
      </c>
      <c r="E125" s="510">
        <f>IF(+J97&lt;F124,J97,D125)</f>
        <v>28952.720000000001</v>
      </c>
      <c r="F125" s="511">
        <f t="shared" si="32"/>
        <v>126477.12438874444</v>
      </c>
      <c r="G125" s="511">
        <f t="shared" si="33"/>
        <v>140953.48438874446</v>
      </c>
      <c r="H125" s="646">
        <f t="shared" si="34"/>
        <v>45579.876777085316</v>
      </c>
      <c r="I125" s="573">
        <f t="shared" si="35"/>
        <v>45579.876777085316</v>
      </c>
      <c r="J125" s="505">
        <f t="shared" si="21"/>
        <v>0</v>
      </c>
      <c r="K125" s="505"/>
      <c r="L125" s="513"/>
      <c r="M125" s="505">
        <f t="shared" si="27"/>
        <v>0</v>
      </c>
      <c r="N125" s="513"/>
      <c r="O125" s="505">
        <f t="shared" si="24"/>
        <v>0</v>
      </c>
      <c r="P125" s="505">
        <f t="shared" si="25"/>
        <v>0</v>
      </c>
      <c r="Q125" s="244"/>
      <c r="R125" s="244"/>
      <c r="S125" s="244"/>
      <c r="T125" s="244"/>
      <c r="U125" s="244"/>
    </row>
    <row r="126" spans="2:21">
      <c r="B126" s="145" t="str">
        <f t="shared" si="26"/>
        <v/>
      </c>
      <c r="C126" s="496">
        <f>IF(D94="","-",+C125+1)</f>
        <v>2036</v>
      </c>
      <c r="D126" s="350">
        <f>IF(F125+SUM(E$100:E125)=D$93,F125,D$93-SUM(E$100:E125))</f>
        <v>126477.12438874444</v>
      </c>
      <c r="E126" s="510">
        <f>IF(+J97&lt;F125,J97,D126)</f>
        <v>28952.720000000001</v>
      </c>
      <c r="F126" s="511">
        <f t="shared" si="32"/>
        <v>97524.404388744442</v>
      </c>
      <c r="G126" s="511">
        <f t="shared" si="33"/>
        <v>112000.76438874444</v>
      </c>
      <c r="H126" s="646">
        <f t="shared" si="34"/>
        <v>42164.555640111037</v>
      </c>
      <c r="I126" s="573">
        <f t="shared" si="35"/>
        <v>42164.555640111037</v>
      </c>
      <c r="J126" s="505">
        <f t="shared" si="21"/>
        <v>0</v>
      </c>
      <c r="K126" s="505"/>
      <c r="L126" s="513"/>
      <c r="M126" s="505">
        <f t="shared" si="27"/>
        <v>0</v>
      </c>
      <c r="N126" s="513"/>
      <c r="O126" s="505">
        <f t="shared" si="24"/>
        <v>0</v>
      </c>
      <c r="P126" s="505">
        <f t="shared" si="25"/>
        <v>0</v>
      </c>
      <c r="Q126" s="244"/>
      <c r="R126" s="244"/>
      <c r="S126" s="244"/>
      <c r="T126" s="244"/>
      <c r="U126" s="244"/>
    </row>
    <row r="127" spans="2:21">
      <c r="B127" s="145" t="str">
        <f t="shared" si="26"/>
        <v/>
      </c>
      <c r="C127" s="496">
        <f>IF(D94="","-",+C126+1)</f>
        <v>2037</v>
      </c>
      <c r="D127" s="350">
        <f>IF(F126+SUM(E$100:E126)=D$93,F126,D$93-SUM(E$100:E126))</f>
        <v>97524.404388744442</v>
      </c>
      <c r="E127" s="510">
        <f>IF(+J97&lt;F126,J97,D127)</f>
        <v>28952.720000000001</v>
      </c>
      <c r="F127" s="511">
        <f t="shared" si="32"/>
        <v>68571.684388744441</v>
      </c>
      <c r="G127" s="511">
        <f t="shared" si="33"/>
        <v>83048.044388744442</v>
      </c>
      <c r="H127" s="646">
        <f t="shared" si="34"/>
        <v>38749.234503136751</v>
      </c>
      <c r="I127" s="573">
        <f t="shared" si="35"/>
        <v>38749.234503136751</v>
      </c>
      <c r="J127" s="505">
        <f t="shared" si="21"/>
        <v>0</v>
      </c>
      <c r="K127" s="505"/>
      <c r="L127" s="513"/>
      <c r="M127" s="505">
        <f t="shared" si="27"/>
        <v>0</v>
      </c>
      <c r="N127" s="513"/>
      <c r="O127" s="505">
        <f t="shared" si="24"/>
        <v>0</v>
      </c>
      <c r="P127" s="505">
        <f t="shared" si="25"/>
        <v>0</v>
      </c>
      <c r="Q127" s="244"/>
      <c r="R127" s="244"/>
      <c r="S127" s="244"/>
      <c r="T127" s="244"/>
      <c r="U127" s="244"/>
    </row>
    <row r="128" spans="2:21">
      <c r="B128" s="145" t="str">
        <f t="shared" si="26"/>
        <v/>
      </c>
      <c r="C128" s="496">
        <f>IF(D94="","-",+C127+1)</f>
        <v>2038</v>
      </c>
      <c r="D128" s="350">
        <f>IF(F127+SUM(E$100:E127)=D$93,F127,D$93-SUM(E$100:E127))</f>
        <v>68571.684388744441</v>
      </c>
      <c r="E128" s="510">
        <f>IF(+J97&lt;F127,J97,D128)</f>
        <v>28952.720000000001</v>
      </c>
      <c r="F128" s="511">
        <f t="shared" si="32"/>
        <v>39618.96438874444</v>
      </c>
      <c r="G128" s="511">
        <f t="shared" si="33"/>
        <v>54095.324388744441</v>
      </c>
      <c r="H128" s="646">
        <f t="shared" si="34"/>
        <v>35333.913366162466</v>
      </c>
      <c r="I128" s="573">
        <f t="shared" si="35"/>
        <v>35333.913366162466</v>
      </c>
      <c r="J128" s="505">
        <f t="shared" si="21"/>
        <v>0</v>
      </c>
      <c r="K128" s="505"/>
      <c r="L128" s="513"/>
      <c r="M128" s="505">
        <f t="shared" si="27"/>
        <v>0</v>
      </c>
      <c r="N128" s="513"/>
      <c r="O128" s="505">
        <f t="shared" si="24"/>
        <v>0</v>
      </c>
      <c r="P128" s="505">
        <f t="shared" si="25"/>
        <v>0</v>
      </c>
      <c r="Q128" s="244"/>
      <c r="R128" s="244"/>
      <c r="S128" s="244"/>
      <c r="T128" s="244"/>
      <c r="U128" s="244"/>
    </row>
    <row r="129" spans="2:21">
      <c r="B129" s="145" t="str">
        <f t="shared" si="26"/>
        <v/>
      </c>
      <c r="C129" s="496">
        <f>IF(D94="","-",+C128+1)</f>
        <v>2039</v>
      </c>
      <c r="D129" s="350">
        <f>IF(F128+SUM(E$100:E128)=D$93,F128,D$93-SUM(E$100:E128))</f>
        <v>39618.96438874444</v>
      </c>
      <c r="E129" s="510">
        <f>IF(+J97&lt;F128,J97,D129)</f>
        <v>28952.720000000001</v>
      </c>
      <c r="F129" s="511">
        <f t="shared" si="32"/>
        <v>10666.244388744439</v>
      </c>
      <c r="G129" s="511">
        <f t="shared" si="33"/>
        <v>25142.604388744439</v>
      </c>
      <c r="H129" s="646">
        <f t="shared" si="34"/>
        <v>31918.592229188183</v>
      </c>
      <c r="I129" s="573">
        <f t="shared" si="35"/>
        <v>31918.592229188183</v>
      </c>
      <c r="J129" s="505">
        <f t="shared" si="21"/>
        <v>0</v>
      </c>
      <c r="K129" s="505"/>
      <c r="L129" s="513"/>
      <c r="M129" s="505">
        <f t="shared" si="27"/>
        <v>0</v>
      </c>
      <c r="N129" s="513"/>
      <c r="O129" s="505">
        <f t="shared" si="24"/>
        <v>0</v>
      </c>
      <c r="P129" s="505">
        <f t="shared" si="25"/>
        <v>0</v>
      </c>
      <c r="Q129" s="244"/>
      <c r="R129" s="244"/>
      <c r="S129" s="244"/>
      <c r="T129" s="244"/>
      <c r="U129" s="244"/>
    </row>
    <row r="130" spans="2:21">
      <c r="B130" s="145" t="str">
        <f t="shared" si="26"/>
        <v/>
      </c>
      <c r="C130" s="496">
        <f>IF(D94="","-",+C129+1)</f>
        <v>2040</v>
      </c>
      <c r="D130" s="350">
        <f>IF(F129+SUM(E$100:E129)=D$93,F129,D$93-SUM(E$100:E129))</f>
        <v>10666.244388744439</v>
      </c>
      <c r="E130" s="510">
        <f>IF(+J97&lt;F129,J97,D130)</f>
        <v>10666.244388744439</v>
      </c>
      <c r="F130" s="511">
        <f t="shared" si="32"/>
        <v>0</v>
      </c>
      <c r="G130" s="511">
        <f t="shared" si="33"/>
        <v>5333.1221943722194</v>
      </c>
      <c r="H130" s="646">
        <f t="shared" si="34"/>
        <v>11295.350219094958</v>
      </c>
      <c r="I130" s="573">
        <f t="shared" si="35"/>
        <v>11295.350219094958</v>
      </c>
      <c r="J130" s="505">
        <f t="shared" si="21"/>
        <v>0</v>
      </c>
      <c r="K130" s="505"/>
      <c r="L130" s="513"/>
      <c r="M130" s="505">
        <f t="shared" si="27"/>
        <v>0</v>
      </c>
      <c r="N130" s="513"/>
      <c r="O130" s="505">
        <f t="shared" si="24"/>
        <v>0</v>
      </c>
      <c r="P130" s="505">
        <f t="shared" si="25"/>
        <v>0</v>
      </c>
      <c r="Q130" s="244"/>
      <c r="R130" s="244"/>
      <c r="S130" s="244"/>
      <c r="T130" s="244"/>
      <c r="U130" s="244"/>
    </row>
    <row r="131" spans="2:21">
      <c r="B131" s="145" t="str">
        <f t="shared" si="26"/>
        <v/>
      </c>
      <c r="C131" s="496">
        <f>IF(D94="","-",+C130+1)</f>
        <v>2041</v>
      </c>
      <c r="D131" s="350">
        <f>IF(F130+SUM(E$100:E130)=D$93,F130,D$93-SUM(E$100:E130))</f>
        <v>0</v>
      </c>
      <c r="E131" s="510">
        <f>IF(+J97&lt;F130,J97,D131)</f>
        <v>0</v>
      </c>
      <c r="F131" s="511">
        <f t="shared" si="32"/>
        <v>0</v>
      </c>
      <c r="G131" s="511">
        <f t="shared" si="33"/>
        <v>0</v>
      </c>
      <c r="H131" s="646">
        <f t="shared" si="34"/>
        <v>0</v>
      </c>
      <c r="I131" s="573">
        <f t="shared" si="35"/>
        <v>0</v>
      </c>
      <c r="J131" s="505">
        <f t="shared" si="21"/>
        <v>0</v>
      </c>
      <c r="K131" s="505"/>
      <c r="L131" s="513"/>
      <c r="M131" s="505">
        <f t="shared" si="27"/>
        <v>0</v>
      </c>
      <c r="N131" s="513"/>
      <c r="O131" s="505">
        <f t="shared" si="24"/>
        <v>0</v>
      </c>
      <c r="P131" s="505">
        <f t="shared" si="25"/>
        <v>0</v>
      </c>
      <c r="Q131" s="244"/>
      <c r="R131" s="244"/>
      <c r="S131" s="244"/>
      <c r="T131" s="244"/>
      <c r="U131" s="244"/>
    </row>
    <row r="132" spans="2:21">
      <c r="B132" s="145" t="str">
        <f t="shared" si="26"/>
        <v/>
      </c>
      <c r="C132" s="496">
        <f>IF(D94="","-",+C131+1)</f>
        <v>2042</v>
      </c>
      <c r="D132" s="350">
        <f>IF(F131+SUM(E$100:E131)=D$93,F131,D$93-SUM(E$100:E131))</f>
        <v>0</v>
      </c>
      <c r="E132" s="510">
        <f>IF(+J97&lt;F131,J97,D132)</f>
        <v>0</v>
      </c>
      <c r="F132" s="511">
        <f t="shared" ref="F132:F155" si="36">+D132-E132</f>
        <v>0</v>
      </c>
      <c r="G132" s="511">
        <f t="shared" ref="G132:G155" si="37">+(F132+D132)/2</f>
        <v>0</v>
      </c>
      <c r="H132" s="646">
        <f t="shared" si="34"/>
        <v>0</v>
      </c>
      <c r="I132" s="573">
        <f t="shared" si="35"/>
        <v>0</v>
      </c>
      <c r="J132" s="505">
        <f t="shared" ref="J132:J155" si="38">+I132-H132</f>
        <v>0</v>
      </c>
      <c r="K132" s="505"/>
      <c r="L132" s="513"/>
      <c r="M132" s="505">
        <f t="shared" ref="M132:M155" si="39">IF(L132&lt;&gt;0,+H132-L132,0)</f>
        <v>0</v>
      </c>
      <c r="N132" s="513"/>
      <c r="O132" s="505">
        <f t="shared" ref="O132:O155" si="40">IF(N132&lt;&gt;0,+I132-N132,0)</f>
        <v>0</v>
      </c>
      <c r="P132" s="505">
        <f t="shared" ref="P132:P155" si="41">+O132-M132</f>
        <v>0</v>
      </c>
      <c r="Q132" s="244"/>
      <c r="R132" s="244"/>
      <c r="S132" s="244"/>
      <c r="T132" s="244"/>
      <c r="U132" s="244"/>
    </row>
    <row r="133" spans="2:21">
      <c r="B133" s="145" t="str">
        <f t="shared" si="26"/>
        <v/>
      </c>
      <c r="C133" s="496">
        <f>IF(D94="","-",+C132+1)</f>
        <v>2043</v>
      </c>
      <c r="D133" s="350">
        <f>IF(F132+SUM(E$100:E132)=D$93,F132,D$93-SUM(E$100:E132))</f>
        <v>0</v>
      </c>
      <c r="E133" s="510">
        <f>IF(+J97&lt;F132,J97,D133)</f>
        <v>0</v>
      </c>
      <c r="F133" s="511">
        <f t="shared" si="36"/>
        <v>0</v>
      </c>
      <c r="G133" s="511">
        <f t="shared" si="37"/>
        <v>0</v>
      </c>
      <c r="H133" s="646">
        <f t="shared" si="34"/>
        <v>0</v>
      </c>
      <c r="I133" s="573">
        <f t="shared" ref="I133:I155" si="42">+J$96*G133+E133</f>
        <v>0</v>
      </c>
      <c r="J133" s="505">
        <f t="shared" si="38"/>
        <v>0</v>
      </c>
      <c r="K133" s="505"/>
      <c r="L133" s="513"/>
      <c r="M133" s="505">
        <f t="shared" si="39"/>
        <v>0</v>
      </c>
      <c r="N133" s="513"/>
      <c r="O133" s="505">
        <f t="shared" si="40"/>
        <v>0</v>
      </c>
      <c r="P133" s="505">
        <f t="shared" si="41"/>
        <v>0</v>
      </c>
      <c r="Q133" s="244"/>
      <c r="R133" s="244"/>
      <c r="S133" s="244"/>
      <c r="T133" s="244"/>
      <c r="U133" s="244"/>
    </row>
    <row r="134" spans="2:21">
      <c r="B134" s="145" t="str">
        <f t="shared" si="26"/>
        <v/>
      </c>
      <c r="C134" s="496">
        <f>IF(D94="","-",+C133+1)</f>
        <v>2044</v>
      </c>
      <c r="D134" s="350">
        <f>IF(F133+SUM(E$100:E133)=D$93,F133,D$93-SUM(E$100:E133))</f>
        <v>0</v>
      </c>
      <c r="E134" s="510">
        <f>IF(+J97&lt;F133,J97,D134)</f>
        <v>0</v>
      </c>
      <c r="F134" s="511">
        <f t="shared" si="36"/>
        <v>0</v>
      </c>
      <c r="G134" s="511">
        <f t="shared" si="37"/>
        <v>0</v>
      </c>
      <c r="H134" s="646">
        <f t="shared" si="34"/>
        <v>0</v>
      </c>
      <c r="I134" s="573">
        <f t="shared" si="42"/>
        <v>0</v>
      </c>
      <c r="J134" s="505">
        <f t="shared" si="38"/>
        <v>0</v>
      </c>
      <c r="K134" s="505"/>
      <c r="L134" s="513"/>
      <c r="M134" s="505">
        <f t="shared" si="39"/>
        <v>0</v>
      </c>
      <c r="N134" s="513"/>
      <c r="O134" s="505">
        <f t="shared" si="40"/>
        <v>0</v>
      </c>
      <c r="P134" s="505">
        <f t="shared" si="41"/>
        <v>0</v>
      </c>
      <c r="Q134" s="244"/>
      <c r="R134" s="244"/>
      <c r="S134" s="244"/>
      <c r="T134" s="244"/>
      <c r="U134" s="244"/>
    </row>
    <row r="135" spans="2:21">
      <c r="B135" s="145" t="str">
        <f t="shared" si="26"/>
        <v/>
      </c>
      <c r="C135" s="496">
        <f>IF(D94="","-",+C134+1)</f>
        <v>2045</v>
      </c>
      <c r="D135" s="350">
        <f>IF(F134+SUM(E$100:E134)=D$93,F134,D$93-SUM(E$100:E134))</f>
        <v>0</v>
      </c>
      <c r="E135" s="510">
        <f>IF(+J97&lt;F134,J97,D135)</f>
        <v>0</v>
      </c>
      <c r="F135" s="511">
        <f t="shared" si="36"/>
        <v>0</v>
      </c>
      <c r="G135" s="511">
        <f t="shared" si="37"/>
        <v>0</v>
      </c>
      <c r="H135" s="646">
        <f t="shared" si="34"/>
        <v>0</v>
      </c>
      <c r="I135" s="573">
        <f t="shared" si="42"/>
        <v>0</v>
      </c>
      <c r="J135" s="505">
        <f t="shared" si="38"/>
        <v>0</v>
      </c>
      <c r="K135" s="505"/>
      <c r="L135" s="513"/>
      <c r="M135" s="505">
        <f t="shared" si="39"/>
        <v>0</v>
      </c>
      <c r="N135" s="513"/>
      <c r="O135" s="505">
        <f t="shared" si="40"/>
        <v>0</v>
      </c>
      <c r="P135" s="505">
        <f t="shared" si="41"/>
        <v>0</v>
      </c>
      <c r="Q135" s="244"/>
      <c r="R135" s="244"/>
      <c r="S135" s="244"/>
      <c r="T135" s="244"/>
      <c r="U135" s="244"/>
    </row>
    <row r="136" spans="2:21">
      <c r="B136" s="145" t="str">
        <f t="shared" si="26"/>
        <v/>
      </c>
      <c r="C136" s="496">
        <f>IF(D94="","-",+C135+1)</f>
        <v>2046</v>
      </c>
      <c r="D136" s="350">
        <f>IF(F135+SUM(E$100:E135)=D$93,F135,D$93-SUM(E$100:E135))</f>
        <v>0</v>
      </c>
      <c r="E136" s="510">
        <f>IF(+J97&lt;F135,J97,D136)</f>
        <v>0</v>
      </c>
      <c r="F136" s="511">
        <f t="shared" si="36"/>
        <v>0</v>
      </c>
      <c r="G136" s="511">
        <f t="shared" si="37"/>
        <v>0</v>
      </c>
      <c r="H136" s="646">
        <f t="shared" si="34"/>
        <v>0</v>
      </c>
      <c r="I136" s="573">
        <f t="shared" si="42"/>
        <v>0</v>
      </c>
      <c r="J136" s="505">
        <f t="shared" si="38"/>
        <v>0</v>
      </c>
      <c r="K136" s="505"/>
      <c r="L136" s="513"/>
      <c r="M136" s="505">
        <f t="shared" si="39"/>
        <v>0</v>
      </c>
      <c r="N136" s="513"/>
      <c r="O136" s="505">
        <f t="shared" si="40"/>
        <v>0</v>
      </c>
      <c r="P136" s="505">
        <f t="shared" si="41"/>
        <v>0</v>
      </c>
      <c r="Q136" s="244"/>
      <c r="R136" s="244"/>
      <c r="S136" s="244"/>
      <c r="T136" s="244"/>
      <c r="U136" s="244"/>
    </row>
    <row r="137" spans="2:21">
      <c r="B137" s="145" t="str">
        <f t="shared" si="26"/>
        <v/>
      </c>
      <c r="C137" s="496">
        <f>IF(D94="","-",+C136+1)</f>
        <v>2047</v>
      </c>
      <c r="D137" s="350">
        <f>IF(F136+SUM(E$100:E136)=D$93,F136,D$93-SUM(E$100:E136))</f>
        <v>0</v>
      </c>
      <c r="E137" s="510">
        <f>IF(+J97&lt;F136,J97,D137)</f>
        <v>0</v>
      </c>
      <c r="F137" s="511">
        <f t="shared" si="36"/>
        <v>0</v>
      </c>
      <c r="G137" s="511">
        <f t="shared" si="37"/>
        <v>0</v>
      </c>
      <c r="H137" s="646">
        <f t="shared" si="34"/>
        <v>0</v>
      </c>
      <c r="I137" s="573">
        <f t="shared" si="42"/>
        <v>0</v>
      </c>
      <c r="J137" s="505">
        <f t="shared" si="38"/>
        <v>0</v>
      </c>
      <c r="K137" s="505"/>
      <c r="L137" s="513"/>
      <c r="M137" s="505">
        <f t="shared" si="39"/>
        <v>0</v>
      </c>
      <c r="N137" s="513"/>
      <c r="O137" s="505">
        <f t="shared" si="40"/>
        <v>0</v>
      </c>
      <c r="P137" s="505">
        <f t="shared" si="41"/>
        <v>0</v>
      </c>
      <c r="Q137" s="244"/>
      <c r="R137" s="244"/>
      <c r="S137" s="244"/>
      <c r="T137" s="244"/>
      <c r="U137" s="244"/>
    </row>
    <row r="138" spans="2:21">
      <c r="B138" s="145" t="str">
        <f t="shared" si="26"/>
        <v/>
      </c>
      <c r="C138" s="496">
        <f>IF(D94="","-",+C137+1)</f>
        <v>2048</v>
      </c>
      <c r="D138" s="350">
        <f>IF(F137+SUM(E$100:E137)=D$93,F137,D$93-SUM(E$100:E137))</f>
        <v>0</v>
      </c>
      <c r="E138" s="510">
        <f>IF(+J97&lt;F137,J97,D138)</f>
        <v>0</v>
      </c>
      <c r="F138" s="511">
        <f t="shared" si="36"/>
        <v>0</v>
      </c>
      <c r="G138" s="511">
        <f t="shared" si="37"/>
        <v>0</v>
      </c>
      <c r="H138" s="646">
        <f t="shared" si="34"/>
        <v>0</v>
      </c>
      <c r="I138" s="573">
        <f t="shared" si="42"/>
        <v>0</v>
      </c>
      <c r="J138" s="505">
        <f t="shared" si="38"/>
        <v>0</v>
      </c>
      <c r="K138" s="505"/>
      <c r="L138" s="513"/>
      <c r="M138" s="505">
        <f t="shared" si="39"/>
        <v>0</v>
      </c>
      <c r="N138" s="513"/>
      <c r="O138" s="505">
        <f t="shared" si="40"/>
        <v>0</v>
      </c>
      <c r="P138" s="505">
        <f t="shared" si="41"/>
        <v>0</v>
      </c>
      <c r="Q138" s="244"/>
      <c r="R138" s="244"/>
      <c r="S138" s="244"/>
      <c r="T138" s="244"/>
      <c r="U138" s="244"/>
    </row>
    <row r="139" spans="2:21">
      <c r="B139" s="145" t="str">
        <f t="shared" si="26"/>
        <v/>
      </c>
      <c r="C139" s="496">
        <f>IF(D94="","-",+C138+1)</f>
        <v>2049</v>
      </c>
      <c r="D139" s="350">
        <f>IF(F138+SUM(E$100:E138)=D$93,F138,D$93-SUM(E$100:E138))</f>
        <v>0</v>
      </c>
      <c r="E139" s="510">
        <f>IF(+J97&lt;F138,J97,D139)</f>
        <v>0</v>
      </c>
      <c r="F139" s="511">
        <f t="shared" si="36"/>
        <v>0</v>
      </c>
      <c r="G139" s="511">
        <f t="shared" si="37"/>
        <v>0</v>
      </c>
      <c r="H139" s="646">
        <f t="shared" si="34"/>
        <v>0</v>
      </c>
      <c r="I139" s="573">
        <f t="shared" si="42"/>
        <v>0</v>
      </c>
      <c r="J139" s="505">
        <f t="shared" si="38"/>
        <v>0</v>
      </c>
      <c r="K139" s="505"/>
      <c r="L139" s="513"/>
      <c r="M139" s="505">
        <f t="shared" si="39"/>
        <v>0</v>
      </c>
      <c r="N139" s="513"/>
      <c r="O139" s="505">
        <f t="shared" si="40"/>
        <v>0</v>
      </c>
      <c r="P139" s="505">
        <f t="shared" si="41"/>
        <v>0</v>
      </c>
      <c r="Q139" s="244"/>
      <c r="R139" s="244"/>
      <c r="S139" s="244"/>
      <c r="T139" s="244"/>
      <c r="U139" s="244"/>
    </row>
    <row r="140" spans="2:21">
      <c r="B140" s="145" t="str">
        <f t="shared" si="26"/>
        <v/>
      </c>
      <c r="C140" s="496">
        <f>IF(D94="","-",+C139+1)</f>
        <v>2050</v>
      </c>
      <c r="D140" s="350">
        <f>IF(F139+SUM(E$100:E139)=D$93,F139,D$93-SUM(E$100:E139))</f>
        <v>0</v>
      </c>
      <c r="E140" s="510">
        <f>IF(+J97&lt;F139,J97,D140)</f>
        <v>0</v>
      </c>
      <c r="F140" s="511">
        <f t="shared" si="36"/>
        <v>0</v>
      </c>
      <c r="G140" s="511">
        <f t="shared" si="37"/>
        <v>0</v>
      </c>
      <c r="H140" s="646">
        <f t="shared" si="34"/>
        <v>0</v>
      </c>
      <c r="I140" s="573">
        <f t="shared" si="42"/>
        <v>0</v>
      </c>
      <c r="J140" s="505">
        <f t="shared" si="38"/>
        <v>0</v>
      </c>
      <c r="K140" s="505"/>
      <c r="L140" s="513"/>
      <c r="M140" s="505">
        <f t="shared" si="39"/>
        <v>0</v>
      </c>
      <c r="N140" s="513"/>
      <c r="O140" s="505">
        <f t="shared" si="40"/>
        <v>0</v>
      </c>
      <c r="P140" s="505">
        <f t="shared" si="41"/>
        <v>0</v>
      </c>
      <c r="Q140" s="244"/>
      <c r="R140" s="244"/>
      <c r="S140" s="244"/>
      <c r="T140" s="244"/>
      <c r="U140" s="244"/>
    </row>
    <row r="141" spans="2:21">
      <c r="B141" s="145" t="str">
        <f t="shared" si="26"/>
        <v/>
      </c>
      <c r="C141" s="496">
        <f>IF(D94="","-",+C140+1)</f>
        <v>2051</v>
      </c>
      <c r="D141" s="350">
        <f>IF(F140+SUM(E$100:E140)=D$93,F140,D$93-SUM(E$100:E140))</f>
        <v>0</v>
      </c>
      <c r="E141" s="510">
        <f>IF(+J97&lt;F140,J97,D141)</f>
        <v>0</v>
      </c>
      <c r="F141" s="511">
        <f t="shared" si="36"/>
        <v>0</v>
      </c>
      <c r="G141" s="511">
        <f t="shared" si="37"/>
        <v>0</v>
      </c>
      <c r="H141" s="646">
        <f t="shared" si="34"/>
        <v>0</v>
      </c>
      <c r="I141" s="573">
        <f t="shared" si="42"/>
        <v>0</v>
      </c>
      <c r="J141" s="505">
        <f t="shared" si="38"/>
        <v>0</v>
      </c>
      <c r="K141" s="505"/>
      <c r="L141" s="513"/>
      <c r="M141" s="505">
        <f t="shared" si="39"/>
        <v>0</v>
      </c>
      <c r="N141" s="513"/>
      <c r="O141" s="505">
        <f t="shared" si="40"/>
        <v>0</v>
      </c>
      <c r="P141" s="505">
        <f t="shared" si="41"/>
        <v>0</v>
      </c>
      <c r="Q141" s="244"/>
      <c r="R141" s="244"/>
      <c r="S141" s="244"/>
      <c r="T141" s="244"/>
      <c r="U141" s="244"/>
    </row>
    <row r="142" spans="2:21">
      <c r="B142" s="145" t="str">
        <f t="shared" si="26"/>
        <v/>
      </c>
      <c r="C142" s="496">
        <f>IF(D94="","-",+C141+1)</f>
        <v>2052</v>
      </c>
      <c r="D142" s="350">
        <f>IF(F141+SUM(E$100:E141)=D$93,F141,D$93-SUM(E$100:E141))</f>
        <v>0</v>
      </c>
      <c r="E142" s="510">
        <f>IF(+J97&lt;F141,J97,D142)</f>
        <v>0</v>
      </c>
      <c r="F142" s="511">
        <f t="shared" si="36"/>
        <v>0</v>
      </c>
      <c r="G142" s="511">
        <f t="shared" si="37"/>
        <v>0</v>
      </c>
      <c r="H142" s="646">
        <f t="shared" si="34"/>
        <v>0</v>
      </c>
      <c r="I142" s="573">
        <f t="shared" si="42"/>
        <v>0</v>
      </c>
      <c r="J142" s="505">
        <f t="shared" si="38"/>
        <v>0</v>
      </c>
      <c r="K142" s="505"/>
      <c r="L142" s="513"/>
      <c r="M142" s="505">
        <f t="shared" si="39"/>
        <v>0</v>
      </c>
      <c r="N142" s="513"/>
      <c r="O142" s="505">
        <f t="shared" si="40"/>
        <v>0</v>
      </c>
      <c r="P142" s="505">
        <f t="shared" si="41"/>
        <v>0</v>
      </c>
      <c r="Q142" s="244"/>
      <c r="R142" s="244"/>
      <c r="S142" s="244"/>
      <c r="T142" s="244"/>
      <c r="U142" s="244"/>
    </row>
    <row r="143" spans="2:21">
      <c r="B143" s="145" t="str">
        <f t="shared" si="26"/>
        <v/>
      </c>
      <c r="C143" s="496">
        <f>IF(D94="","-",+C142+1)</f>
        <v>2053</v>
      </c>
      <c r="D143" s="350">
        <f>IF(F142+SUM(E$100:E142)=D$93,F142,D$93-SUM(E$100:E142))</f>
        <v>0</v>
      </c>
      <c r="E143" s="510">
        <f>IF(+J97&lt;F142,J97,D143)</f>
        <v>0</v>
      </c>
      <c r="F143" s="511">
        <f t="shared" si="36"/>
        <v>0</v>
      </c>
      <c r="G143" s="511">
        <f t="shared" si="37"/>
        <v>0</v>
      </c>
      <c r="H143" s="646">
        <f t="shared" si="34"/>
        <v>0</v>
      </c>
      <c r="I143" s="573">
        <f t="shared" si="42"/>
        <v>0</v>
      </c>
      <c r="J143" s="505">
        <f t="shared" si="38"/>
        <v>0</v>
      </c>
      <c r="K143" s="505"/>
      <c r="L143" s="513"/>
      <c r="M143" s="505">
        <f t="shared" si="39"/>
        <v>0</v>
      </c>
      <c r="N143" s="513"/>
      <c r="O143" s="505">
        <f t="shared" si="40"/>
        <v>0</v>
      </c>
      <c r="P143" s="505">
        <f t="shared" si="41"/>
        <v>0</v>
      </c>
      <c r="Q143" s="244"/>
      <c r="R143" s="244"/>
      <c r="S143" s="244"/>
      <c r="T143" s="244"/>
      <c r="U143" s="244"/>
    </row>
    <row r="144" spans="2:21">
      <c r="B144" s="145" t="str">
        <f t="shared" si="26"/>
        <v/>
      </c>
      <c r="C144" s="496">
        <f>IF(D94="","-",+C143+1)</f>
        <v>2054</v>
      </c>
      <c r="D144" s="350">
        <f>IF(F143+SUM(E$100:E143)=D$93,F143,D$93-SUM(E$100:E143))</f>
        <v>0</v>
      </c>
      <c r="E144" s="510">
        <f>IF(+J97&lt;F143,J97,D144)</f>
        <v>0</v>
      </c>
      <c r="F144" s="511">
        <f t="shared" si="36"/>
        <v>0</v>
      </c>
      <c r="G144" s="511">
        <f t="shared" si="37"/>
        <v>0</v>
      </c>
      <c r="H144" s="646">
        <f t="shared" si="34"/>
        <v>0</v>
      </c>
      <c r="I144" s="573">
        <f t="shared" si="42"/>
        <v>0</v>
      </c>
      <c r="J144" s="505">
        <f t="shared" si="38"/>
        <v>0</v>
      </c>
      <c r="K144" s="505"/>
      <c r="L144" s="513"/>
      <c r="M144" s="505">
        <f t="shared" si="39"/>
        <v>0</v>
      </c>
      <c r="N144" s="513"/>
      <c r="O144" s="505">
        <f t="shared" si="40"/>
        <v>0</v>
      </c>
      <c r="P144" s="505">
        <f t="shared" si="41"/>
        <v>0</v>
      </c>
      <c r="Q144" s="244"/>
      <c r="R144" s="244"/>
      <c r="S144" s="244"/>
      <c r="T144" s="244"/>
      <c r="U144" s="244"/>
    </row>
    <row r="145" spans="2:21">
      <c r="B145" s="145" t="str">
        <f t="shared" si="26"/>
        <v/>
      </c>
      <c r="C145" s="496">
        <f>IF(D94="","-",+C144+1)</f>
        <v>2055</v>
      </c>
      <c r="D145" s="350">
        <f>IF(F144+SUM(E$100:E144)=D$93,F144,D$93-SUM(E$100:E144))</f>
        <v>0</v>
      </c>
      <c r="E145" s="510">
        <f>IF(+J97&lt;F144,J97,D145)</f>
        <v>0</v>
      </c>
      <c r="F145" s="511">
        <f t="shared" si="36"/>
        <v>0</v>
      </c>
      <c r="G145" s="511">
        <f t="shared" si="37"/>
        <v>0</v>
      </c>
      <c r="H145" s="646">
        <f t="shared" si="34"/>
        <v>0</v>
      </c>
      <c r="I145" s="573">
        <f t="shared" si="42"/>
        <v>0</v>
      </c>
      <c r="J145" s="505">
        <f t="shared" si="38"/>
        <v>0</v>
      </c>
      <c r="K145" s="505"/>
      <c r="L145" s="513"/>
      <c r="M145" s="505">
        <f t="shared" si="39"/>
        <v>0</v>
      </c>
      <c r="N145" s="513"/>
      <c r="O145" s="505">
        <f t="shared" si="40"/>
        <v>0</v>
      </c>
      <c r="P145" s="505">
        <f t="shared" si="41"/>
        <v>0</v>
      </c>
      <c r="Q145" s="244"/>
      <c r="R145" s="244"/>
      <c r="S145" s="244"/>
      <c r="T145" s="244"/>
      <c r="U145" s="244"/>
    </row>
    <row r="146" spans="2:21">
      <c r="B146" s="145" t="str">
        <f t="shared" si="26"/>
        <v/>
      </c>
      <c r="C146" s="496">
        <f>IF(D94="","-",+C145+1)</f>
        <v>2056</v>
      </c>
      <c r="D146" s="350">
        <f>IF(F145+SUM(E$100:E145)=D$93,F145,D$93-SUM(E$100:E145))</f>
        <v>0</v>
      </c>
      <c r="E146" s="510">
        <f>IF(+J97&lt;F145,J97,D146)</f>
        <v>0</v>
      </c>
      <c r="F146" s="511">
        <f t="shared" si="36"/>
        <v>0</v>
      </c>
      <c r="G146" s="511">
        <f t="shared" si="37"/>
        <v>0</v>
      </c>
      <c r="H146" s="646">
        <f t="shared" si="34"/>
        <v>0</v>
      </c>
      <c r="I146" s="573">
        <f t="shared" si="42"/>
        <v>0</v>
      </c>
      <c r="J146" s="505">
        <f t="shared" si="38"/>
        <v>0</v>
      </c>
      <c r="K146" s="505"/>
      <c r="L146" s="513"/>
      <c r="M146" s="505">
        <f t="shared" si="39"/>
        <v>0</v>
      </c>
      <c r="N146" s="513"/>
      <c r="O146" s="505">
        <f t="shared" si="40"/>
        <v>0</v>
      </c>
      <c r="P146" s="505">
        <f t="shared" si="41"/>
        <v>0</v>
      </c>
      <c r="Q146" s="244"/>
      <c r="R146" s="244"/>
      <c r="S146" s="244"/>
      <c r="T146" s="244"/>
      <c r="U146" s="244"/>
    </row>
    <row r="147" spans="2:21">
      <c r="B147" s="145" t="str">
        <f t="shared" si="26"/>
        <v/>
      </c>
      <c r="C147" s="496">
        <f>IF(D94="","-",+C146+1)</f>
        <v>2057</v>
      </c>
      <c r="D147" s="350">
        <f>IF(F146+SUM(E$100:E146)=D$93,F146,D$93-SUM(E$100:E146))</f>
        <v>0</v>
      </c>
      <c r="E147" s="510">
        <f>IF(+J97&lt;F146,J97,D147)</f>
        <v>0</v>
      </c>
      <c r="F147" s="511">
        <f t="shared" si="36"/>
        <v>0</v>
      </c>
      <c r="G147" s="511">
        <f t="shared" si="37"/>
        <v>0</v>
      </c>
      <c r="H147" s="646">
        <f t="shared" si="34"/>
        <v>0</v>
      </c>
      <c r="I147" s="573">
        <f t="shared" si="42"/>
        <v>0</v>
      </c>
      <c r="J147" s="505">
        <f t="shared" si="38"/>
        <v>0</v>
      </c>
      <c r="K147" s="505"/>
      <c r="L147" s="513"/>
      <c r="M147" s="505">
        <f t="shared" si="39"/>
        <v>0</v>
      </c>
      <c r="N147" s="513"/>
      <c r="O147" s="505">
        <f t="shared" si="40"/>
        <v>0</v>
      </c>
      <c r="P147" s="505">
        <f t="shared" si="41"/>
        <v>0</v>
      </c>
      <c r="Q147" s="244"/>
      <c r="R147" s="244"/>
      <c r="S147" s="244"/>
      <c r="T147" s="244"/>
      <c r="U147" s="244"/>
    </row>
    <row r="148" spans="2:21">
      <c r="B148" s="145" t="str">
        <f t="shared" si="26"/>
        <v/>
      </c>
      <c r="C148" s="496">
        <f>IF(D94="","-",+C147+1)</f>
        <v>2058</v>
      </c>
      <c r="D148" s="350">
        <f>IF(F147+SUM(E$100:E147)=D$93,F147,D$93-SUM(E$100:E147))</f>
        <v>0</v>
      </c>
      <c r="E148" s="510">
        <f>IF(+J97&lt;F147,J97,D148)</f>
        <v>0</v>
      </c>
      <c r="F148" s="511">
        <f t="shared" si="36"/>
        <v>0</v>
      </c>
      <c r="G148" s="511">
        <f t="shared" si="37"/>
        <v>0</v>
      </c>
      <c r="H148" s="646">
        <f t="shared" si="34"/>
        <v>0</v>
      </c>
      <c r="I148" s="573">
        <f t="shared" si="42"/>
        <v>0</v>
      </c>
      <c r="J148" s="505">
        <f t="shared" si="38"/>
        <v>0</v>
      </c>
      <c r="K148" s="505"/>
      <c r="L148" s="513"/>
      <c r="M148" s="505">
        <f t="shared" si="39"/>
        <v>0</v>
      </c>
      <c r="N148" s="513"/>
      <c r="O148" s="505">
        <f t="shared" si="40"/>
        <v>0</v>
      </c>
      <c r="P148" s="505">
        <f t="shared" si="41"/>
        <v>0</v>
      </c>
      <c r="Q148" s="244"/>
      <c r="R148" s="244"/>
      <c r="S148" s="244"/>
      <c r="T148" s="244"/>
      <c r="U148" s="244"/>
    </row>
    <row r="149" spans="2:21">
      <c r="B149" s="145" t="str">
        <f t="shared" si="26"/>
        <v/>
      </c>
      <c r="C149" s="496">
        <f>IF(D94="","-",+C148+1)</f>
        <v>2059</v>
      </c>
      <c r="D149" s="350">
        <f>IF(F148+SUM(E$100:E148)=D$93,F148,D$93-SUM(E$100:E148))</f>
        <v>0</v>
      </c>
      <c r="E149" s="510">
        <f>IF(+J97&lt;F148,J97,D149)</f>
        <v>0</v>
      </c>
      <c r="F149" s="511">
        <f t="shared" si="36"/>
        <v>0</v>
      </c>
      <c r="G149" s="511">
        <f t="shared" si="37"/>
        <v>0</v>
      </c>
      <c r="H149" s="646">
        <f t="shared" si="34"/>
        <v>0</v>
      </c>
      <c r="I149" s="573">
        <f t="shared" si="42"/>
        <v>0</v>
      </c>
      <c r="J149" s="505">
        <f t="shared" si="38"/>
        <v>0</v>
      </c>
      <c r="K149" s="505"/>
      <c r="L149" s="513"/>
      <c r="M149" s="505">
        <f t="shared" si="39"/>
        <v>0</v>
      </c>
      <c r="N149" s="513"/>
      <c r="O149" s="505">
        <f t="shared" si="40"/>
        <v>0</v>
      </c>
      <c r="P149" s="505">
        <f t="shared" si="41"/>
        <v>0</v>
      </c>
      <c r="Q149" s="244"/>
      <c r="R149" s="244"/>
      <c r="S149" s="244"/>
      <c r="T149" s="244"/>
      <c r="U149" s="244"/>
    </row>
    <row r="150" spans="2:21">
      <c r="B150" s="145" t="str">
        <f t="shared" si="26"/>
        <v/>
      </c>
      <c r="C150" s="496">
        <f>IF(D94="","-",+C149+1)</f>
        <v>2060</v>
      </c>
      <c r="D150" s="350">
        <f>IF(F149+SUM(E$100:E149)=D$93,F149,D$93-SUM(E$100:E149))</f>
        <v>0</v>
      </c>
      <c r="E150" s="510">
        <f>IF(+J97&lt;F149,J97,D150)</f>
        <v>0</v>
      </c>
      <c r="F150" s="511">
        <f t="shared" si="36"/>
        <v>0</v>
      </c>
      <c r="G150" s="511">
        <f t="shared" si="37"/>
        <v>0</v>
      </c>
      <c r="H150" s="646">
        <f t="shared" si="34"/>
        <v>0</v>
      </c>
      <c r="I150" s="573">
        <f t="shared" si="42"/>
        <v>0</v>
      </c>
      <c r="J150" s="505">
        <f t="shared" si="38"/>
        <v>0</v>
      </c>
      <c r="K150" s="505"/>
      <c r="L150" s="513"/>
      <c r="M150" s="505">
        <f t="shared" si="39"/>
        <v>0</v>
      </c>
      <c r="N150" s="513"/>
      <c r="O150" s="505">
        <f t="shared" si="40"/>
        <v>0</v>
      </c>
      <c r="P150" s="505">
        <f t="shared" si="41"/>
        <v>0</v>
      </c>
      <c r="Q150" s="244"/>
      <c r="R150" s="244"/>
      <c r="S150" s="244"/>
      <c r="T150" s="244"/>
      <c r="U150" s="244"/>
    </row>
    <row r="151" spans="2:21">
      <c r="B151" s="145" t="str">
        <f t="shared" si="26"/>
        <v/>
      </c>
      <c r="C151" s="496">
        <f>IF(D94="","-",+C150+1)</f>
        <v>2061</v>
      </c>
      <c r="D151" s="350">
        <f>IF(F150+SUM(E$100:E150)=D$93,F150,D$93-SUM(E$100:E150))</f>
        <v>0</v>
      </c>
      <c r="E151" s="510">
        <f>IF(+J97&lt;F150,J97,D151)</f>
        <v>0</v>
      </c>
      <c r="F151" s="511">
        <f t="shared" si="36"/>
        <v>0</v>
      </c>
      <c r="G151" s="511">
        <f t="shared" si="37"/>
        <v>0</v>
      </c>
      <c r="H151" s="646">
        <f t="shared" si="34"/>
        <v>0</v>
      </c>
      <c r="I151" s="573">
        <f t="shared" si="42"/>
        <v>0</v>
      </c>
      <c r="J151" s="505">
        <f t="shared" si="38"/>
        <v>0</v>
      </c>
      <c r="K151" s="505"/>
      <c r="L151" s="513"/>
      <c r="M151" s="505">
        <f t="shared" si="39"/>
        <v>0</v>
      </c>
      <c r="N151" s="513"/>
      <c r="O151" s="505">
        <f t="shared" si="40"/>
        <v>0</v>
      </c>
      <c r="P151" s="505">
        <f t="shared" si="41"/>
        <v>0</v>
      </c>
      <c r="Q151" s="244"/>
      <c r="R151" s="244"/>
      <c r="S151" s="244"/>
      <c r="T151" s="244"/>
      <c r="U151" s="244"/>
    </row>
    <row r="152" spans="2:21">
      <c r="B152" s="145" t="str">
        <f t="shared" si="26"/>
        <v/>
      </c>
      <c r="C152" s="496">
        <f>IF(D94="","-",+C151+1)</f>
        <v>2062</v>
      </c>
      <c r="D152" s="350">
        <f>IF(F151+SUM(E$100:E151)=D$93,F151,D$93-SUM(E$100:E151))</f>
        <v>0</v>
      </c>
      <c r="E152" s="510">
        <f>IF(+J97&lt;F151,J97,D152)</f>
        <v>0</v>
      </c>
      <c r="F152" s="511">
        <f t="shared" si="36"/>
        <v>0</v>
      </c>
      <c r="G152" s="511">
        <f t="shared" si="37"/>
        <v>0</v>
      </c>
      <c r="H152" s="646">
        <f t="shared" si="34"/>
        <v>0</v>
      </c>
      <c r="I152" s="573">
        <f t="shared" si="42"/>
        <v>0</v>
      </c>
      <c r="J152" s="505">
        <f t="shared" si="38"/>
        <v>0</v>
      </c>
      <c r="K152" s="505"/>
      <c r="L152" s="513"/>
      <c r="M152" s="505">
        <f t="shared" si="39"/>
        <v>0</v>
      </c>
      <c r="N152" s="513"/>
      <c r="O152" s="505">
        <f t="shared" si="40"/>
        <v>0</v>
      </c>
      <c r="P152" s="505">
        <f t="shared" si="41"/>
        <v>0</v>
      </c>
      <c r="Q152" s="244"/>
      <c r="R152" s="244"/>
      <c r="S152" s="244"/>
      <c r="T152" s="244"/>
      <c r="U152" s="244"/>
    </row>
    <row r="153" spans="2:21">
      <c r="B153" s="145" t="str">
        <f t="shared" si="26"/>
        <v/>
      </c>
      <c r="C153" s="496">
        <f>IF(D94="","-",+C152+1)</f>
        <v>2063</v>
      </c>
      <c r="D153" s="350">
        <f>IF(F152+SUM(E$100:E152)=D$93,F152,D$93-SUM(E$100:E152))</f>
        <v>0</v>
      </c>
      <c r="E153" s="510">
        <f>IF(+J97&lt;F152,J97,D153)</f>
        <v>0</v>
      </c>
      <c r="F153" s="511">
        <f t="shared" si="36"/>
        <v>0</v>
      </c>
      <c r="G153" s="511">
        <f t="shared" si="37"/>
        <v>0</v>
      </c>
      <c r="H153" s="646">
        <f t="shared" si="34"/>
        <v>0</v>
      </c>
      <c r="I153" s="573">
        <f t="shared" si="42"/>
        <v>0</v>
      </c>
      <c r="J153" s="505">
        <f t="shared" si="38"/>
        <v>0</v>
      </c>
      <c r="K153" s="505"/>
      <c r="L153" s="513"/>
      <c r="M153" s="505">
        <f t="shared" si="39"/>
        <v>0</v>
      </c>
      <c r="N153" s="513"/>
      <c r="O153" s="505">
        <f t="shared" si="40"/>
        <v>0</v>
      </c>
      <c r="P153" s="505">
        <f t="shared" si="41"/>
        <v>0</v>
      </c>
      <c r="Q153" s="244"/>
      <c r="R153" s="244"/>
      <c r="S153" s="244"/>
      <c r="T153" s="244"/>
      <c r="U153" s="244"/>
    </row>
    <row r="154" spans="2:21">
      <c r="B154" s="145" t="str">
        <f t="shared" si="26"/>
        <v/>
      </c>
      <c r="C154" s="496">
        <f>IF(D94="","-",+C153+1)</f>
        <v>2064</v>
      </c>
      <c r="D154" s="350">
        <f>IF(F153+SUM(E$100:E153)=D$93,F153,D$93-SUM(E$100:E153))</f>
        <v>0</v>
      </c>
      <c r="E154" s="510">
        <f>IF(+J97&lt;F153,J97,D154)</f>
        <v>0</v>
      </c>
      <c r="F154" s="511">
        <f t="shared" si="36"/>
        <v>0</v>
      </c>
      <c r="G154" s="511">
        <f t="shared" si="37"/>
        <v>0</v>
      </c>
      <c r="H154" s="646">
        <f t="shared" si="34"/>
        <v>0</v>
      </c>
      <c r="I154" s="573">
        <f t="shared" si="42"/>
        <v>0</v>
      </c>
      <c r="J154" s="505">
        <f t="shared" si="38"/>
        <v>0</v>
      </c>
      <c r="K154" s="505"/>
      <c r="L154" s="513"/>
      <c r="M154" s="505">
        <f t="shared" si="39"/>
        <v>0</v>
      </c>
      <c r="N154" s="513"/>
      <c r="O154" s="505">
        <f t="shared" si="40"/>
        <v>0</v>
      </c>
      <c r="P154" s="505">
        <f t="shared" si="41"/>
        <v>0</v>
      </c>
      <c r="Q154" s="244"/>
      <c r="R154" s="244"/>
      <c r="S154" s="244"/>
      <c r="T154" s="244"/>
      <c r="U154" s="244"/>
    </row>
    <row r="155" spans="2:21" ht="13.5" thickBot="1">
      <c r="B155" s="145" t="str">
        <f t="shared" si="26"/>
        <v/>
      </c>
      <c r="C155" s="525">
        <f>IF(D94="","-",+C154+1)</f>
        <v>2065</v>
      </c>
      <c r="D155" s="528">
        <f>IF(F154+SUM(E$100:E154)=D$93,F154,D$93-SUM(E$100:E154))</f>
        <v>0</v>
      </c>
      <c r="E155" s="527">
        <f>IF(+J97&lt;F154,J97,D155)</f>
        <v>0</v>
      </c>
      <c r="F155" s="528">
        <f t="shared" si="36"/>
        <v>0</v>
      </c>
      <c r="G155" s="528">
        <f t="shared" si="37"/>
        <v>0</v>
      </c>
      <c r="H155" s="529">
        <f t="shared" ref="H155" si="43">+J$95*G155+E155</f>
        <v>0</v>
      </c>
      <c r="I155" s="574">
        <f t="shared" si="42"/>
        <v>0</v>
      </c>
      <c r="J155" s="532">
        <f t="shared" si="38"/>
        <v>0</v>
      </c>
      <c r="K155" s="505"/>
      <c r="L155" s="531"/>
      <c r="M155" s="532">
        <f t="shared" si="39"/>
        <v>0</v>
      </c>
      <c r="N155" s="531"/>
      <c r="O155" s="532">
        <f t="shared" si="40"/>
        <v>0</v>
      </c>
      <c r="P155" s="532">
        <f t="shared" si="41"/>
        <v>0</v>
      </c>
      <c r="Q155" s="244"/>
      <c r="R155" s="244"/>
      <c r="S155" s="244"/>
      <c r="T155" s="244"/>
      <c r="U155" s="244"/>
    </row>
    <row r="156" spans="2:21">
      <c r="C156" s="350" t="s">
        <v>75</v>
      </c>
      <c r="D156" s="295"/>
      <c r="E156" s="295">
        <f>SUM(E100:E155)</f>
        <v>723818.00000000012</v>
      </c>
      <c r="F156" s="295"/>
      <c r="G156" s="295"/>
      <c r="H156" s="295">
        <f>SUM(H100:H155)</f>
        <v>2151518.2927896143</v>
      </c>
      <c r="I156" s="295">
        <f>SUM(I100:I155)</f>
        <v>2151518.2927896143</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77" t="s">
        <v>129</v>
      </c>
      <c r="Q163" s="244"/>
      <c r="R163" s="244"/>
      <c r="S163" s="244"/>
      <c r="T163" s="244"/>
      <c r="U163" s="244"/>
    </row>
  </sheetData>
  <phoneticPr fontId="0" type="noConversion"/>
  <conditionalFormatting sqref="C17:C29 C34:C73">
    <cfRule type="cellIs" dxfId="51" priority="2" stopIfTrue="1" operator="equal">
      <formula>$I$10</formula>
    </cfRule>
  </conditionalFormatting>
  <conditionalFormatting sqref="C100:C155">
    <cfRule type="cellIs" dxfId="50" priority="3" stopIfTrue="1" operator="equal">
      <formula>$J$93</formula>
    </cfRule>
  </conditionalFormatting>
  <conditionalFormatting sqref="C30:C33">
    <cfRule type="cellIs" dxfId="49"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0"/>
  <dimension ref="A1:U163"/>
  <sheetViews>
    <sheetView zoomScaleNormal="100" zoomScaleSheetLayoutView="85"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2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111686.32809259798</v>
      </c>
      <c r="P5" s="244"/>
      <c r="R5" s="244"/>
      <c r="S5" s="244"/>
      <c r="T5" s="244"/>
      <c r="U5" s="244"/>
    </row>
    <row r="6" spans="1:21" ht="15.75">
      <c r="C6" s="236"/>
      <c r="D6" s="293"/>
      <c r="E6" s="244"/>
      <c r="F6" s="244"/>
      <c r="G6" s="244"/>
      <c r="H6" s="450"/>
      <c r="I6" s="450"/>
      <c r="J6" s="451"/>
      <c r="K6" s="452" t="s">
        <v>243</v>
      </c>
      <c r="L6" s="453"/>
      <c r="M6" s="279"/>
      <c r="N6" s="454">
        <f>VLOOKUP(I10,C17:I73,6)</f>
        <v>111686.32809259798</v>
      </c>
      <c r="O6" s="244"/>
      <c r="P6" s="244"/>
      <c r="R6" s="244"/>
      <c r="S6" s="244"/>
      <c r="T6" s="244"/>
      <c r="U6" s="244"/>
    </row>
    <row r="7" spans="1:21" ht="13.5" thickBot="1">
      <c r="C7" s="455" t="s">
        <v>46</v>
      </c>
      <c r="D7" s="456" t="s">
        <v>192</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197</v>
      </c>
      <c r="E9" s="466"/>
      <c r="F9" s="466"/>
      <c r="G9" s="466"/>
      <c r="H9" s="466"/>
      <c r="I9" s="467"/>
      <c r="J9" s="468"/>
      <c r="O9" s="469"/>
      <c r="P9" s="279"/>
      <c r="R9" s="244"/>
      <c r="S9" s="244"/>
      <c r="T9" s="244"/>
      <c r="U9" s="244"/>
    </row>
    <row r="10" spans="1:21">
      <c r="C10" s="470" t="s">
        <v>49</v>
      </c>
      <c r="D10" s="471">
        <v>985777.34</v>
      </c>
      <c r="E10" s="300" t="s">
        <v>50</v>
      </c>
      <c r="F10" s="469"/>
      <c r="G10" s="409"/>
      <c r="H10" s="409"/>
      <c r="I10" s="472">
        <f>+'OKT.WS.F.BPU.ATRR.Projected'!R100</f>
        <v>2020</v>
      </c>
      <c r="J10" s="468"/>
      <c r="K10" s="295" t="s">
        <v>51</v>
      </c>
      <c r="O10" s="279"/>
      <c r="P10" s="279"/>
      <c r="R10" s="244"/>
      <c r="S10" s="244"/>
      <c r="T10" s="244"/>
      <c r="U10" s="244"/>
    </row>
    <row r="11" spans="1:21">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0.1064171487591708</v>
      </c>
      <c r="J12" s="579"/>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28993.451176470586</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IF(D17=F16,"","IU")</f>
        <v>IU</v>
      </c>
      <c r="C17" s="581">
        <f>IF(D11= "","-",D11)</f>
        <v>2010</v>
      </c>
      <c r="D17" s="497">
        <v>1000000</v>
      </c>
      <c r="E17" s="498">
        <v>8649.6050543178571</v>
      </c>
      <c r="F17" s="497">
        <v>991350.39494568214</v>
      </c>
      <c r="G17" s="499">
        <v>128416.51741983544</v>
      </c>
      <c r="H17" s="500">
        <v>128416.51741983544</v>
      </c>
      <c r="I17" s="501">
        <f t="shared" ref="I17:I49" si="0">H17-G17</f>
        <v>0</v>
      </c>
      <c r="J17" s="501"/>
      <c r="K17" s="502">
        <f t="shared" ref="K17:K22" si="1">G17</f>
        <v>128416.51741983544</v>
      </c>
      <c r="L17" s="503">
        <f t="shared" ref="L17:L49" si="2">IF(K17&lt;&gt;0,+G17-K17,0)</f>
        <v>0</v>
      </c>
      <c r="M17" s="502">
        <f t="shared" ref="M17:M22" si="3">H17</f>
        <v>128416.51741983544</v>
      </c>
      <c r="N17" s="504">
        <f t="shared" ref="N17:N49" si="4">IF(M17&lt;&gt;0,+H17-M17,0)</f>
        <v>0</v>
      </c>
      <c r="O17" s="505">
        <f t="shared" ref="O17:O49" si="5">+N17-L17</f>
        <v>0</v>
      </c>
      <c r="P17" s="279"/>
      <c r="R17" s="244"/>
      <c r="S17" s="244"/>
      <c r="T17" s="244"/>
      <c r="U17" s="244"/>
    </row>
    <row r="18" spans="2:21">
      <c r="B18" s="145" t="str">
        <f>IF(D18=F17,"","IU")</f>
        <v/>
      </c>
      <c r="C18" s="496">
        <f>IF(D11="","-",+C17+1)</f>
        <v>2011</v>
      </c>
      <c r="D18" s="506">
        <v>991350.39494568214</v>
      </c>
      <c r="E18" s="499">
        <v>16985.402437265064</v>
      </c>
      <c r="F18" s="506">
        <v>974364.99250841711</v>
      </c>
      <c r="G18" s="499">
        <v>143658.66281023776</v>
      </c>
      <c r="H18" s="500">
        <v>143658.66281023776</v>
      </c>
      <c r="I18" s="501">
        <f t="shared" si="0"/>
        <v>0</v>
      </c>
      <c r="J18" s="501"/>
      <c r="K18" s="507">
        <f t="shared" si="1"/>
        <v>143658.66281023776</v>
      </c>
      <c r="L18" s="508">
        <f t="shared" si="2"/>
        <v>0</v>
      </c>
      <c r="M18" s="507">
        <f t="shared" si="3"/>
        <v>143658.66281023776</v>
      </c>
      <c r="N18" s="505">
        <f t="shared" si="4"/>
        <v>0</v>
      </c>
      <c r="O18" s="505">
        <f t="shared" si="5"/>
        <v>0</v>
      </c>
      <c r="P18" s="279"/>
      <c r="R18" s="244"/>
      <c r="S18" s="244"/>
      <c r="T18" s="244"/>
      <c r="U18" s="244"/>
    </row>
    <row r="19" spans="2:21">
      <c r="B19" s="145" t="str">
        <f t="shared" ref="B19:B73" si="6">IF(D19=F18,"","IU")</f>
        <v/>
      </c>
      <c r="C19" s="496">
        <f>IF(D11="","-",+C18+1)</f>
        <v>2012</v>
      </c>
      <c r="D19" s="506">
        <v>974364.99250841711</v>
      </c>
      <c r="E19" s="499">
        <v>17053.169324992024</v>
      </c>
      <c r="F19" s="506">
        <v>957311.82318342512</v>
      </c>
      <c r="G19" s="499">
        <v>109574.51640694846</v>
      </c>
      <c r="H19" s="500">
        <v>109574.51640694846</v>
      </c>
      <c r="I19" s="501">
        <v>0</v>
      </c>
      <c r="J19" s="501"/>
      <c r="K19" s="507">
        <f t="shared" si="1"/>
        <v>109574.51640694846</v>
      </c>
      <c r="L19" s="505">
        <f t="shared" si="2"/>
        <v>0</v>
      </c>
      <c r="M19" s="507">
        <f t="shared" si="3"/>
        <v>109574.51640694846</v>
      </c>
      <c r="N19" s="505">
        <f t="shared" si="4"/>
        <v>0</v>
      </c>
      <c r="O19" s="505">
        <f t="shared" si="5"/>
        <v>0</v>
      </c>
      <c r="P19" s="279"/>
      <c r="R19" s="244"/>
      <c r="S19" s="244"/>
      <c r="T19" s="244"/>
      <c r="U19" s="244"/>
    </row>
    <row r="20" spans="2:21">
      <c r="B20" s="145" t="str">
        <f t="shared" si="6"/>
        <v>IU</v>
      </c>
      <c r="C20" s="496">
        <f>IF(D11="","-",+C19+1)</f>
        <v>2013</v>
      </c>
      <c r="D20" s="506">
        <v>943089.16318342497</v>
      </c>
      <c r="E20" s="499">
        <v>17053.169324992024</v>
      </c>
      <c r="F20" s="506">
        <v>926035.99385843298</v>
      </c>
      <c r="G20" s="499">
        <v>118214.46332464613</v>
      </c>
      <c r="H20" s="500">
        <v>118214.46332464613</v>
      </c>
      <c r="I20" s="501">
        <v>0</v>
      </c>
      <c r="J20" s="501"/>
      <c r="K20" s="507">
        <f t="shared" si="1"/>
        <v>118214.46332464613</v>
      </c>
      <c r="L20" s="505">
        <f t="shared" ref="L20:L25" si="7">IF(K20&lt;&gt;0,+G20-K20,0)</f>
        <v>0</v>
      </c>
      <c r="M20" s="507">
        <f t="shared" si="3"/>
        <v>118214.46332464613</v>
      </c>
      <c r="N20" s="505">
        <f>IF(M20&lt;&gt;0,+H20-M20,0)</f>
        <v>0</v>
      </c>
      <c r="O20" s="505">
        <f>+N20-L20</f>
        <v>0</v>
      </c>
      <c r="P20" s="279"/>
      <c r="R20" s="244"/>
      <c r="S20" s="244"/>
      <c r="T20" s="244"/>
      <c r="U20" s="244"/>
    </row>
    <row r="21" spans="2:21">
      <c r="B21" s="145" t="str">
        <f t="shared" si="6"/>
        <v/>
      </c>
      <c r="C21" s="496">
        <f>IF(D12="","-",+C20+1)</f>
        <v>2014</v>
      </c>
      <c r="D21" s="506">
        <v>926035.99385843298</v>
      </c>
      <c r="E21" s="499">
        <v>17053.169324992024</v>
      </c>
      <c r="F21" s="506">
        <v>908982.82453344099</v>
      </c>
      <c r="G21" s="499">
        <v>117066.12014630614</v>
      </c>
      <c r="H21" s="500">
        <v>117066.12014630614</v>
      </c>
      <c r="I21" s="501">
        <v>0</v>
      </c>
      <c r="J21" s="501"/>
      <c r="K21" s="507">
        <f t="shared" si="1"/>
        <v>117066.12014630614</v>
      </c>
      <c r="L21" s="505">
        <f t="shared" si="7"/>
        <v>0</v>
      </c>
      <c r="M21" s="507">
        <f t="shared" si="3"/>
        <v>117066.12014630614</v>
      </c>
      <c r="N21" s="505">
        <f>IF(M21&lt;&gt;0,+H21-M21,0)</f>
        <v>0</v>
      </c>
      <c r="O21" s="505">
        <f>+N21-L21</f>
        <v>0</v>
      </c>
      <c r="P21" s="279"/>
      <c r="R21" s="244"/>
      <c r="S21" s="244"/>
      <c r="T21" s="244"/>
      <c r="U21" s="244"/>
    </row>
    <row r="22" spans="2:21">
      <c r="B22" s="145" t="str">
        <f t="shared" si="6"/>
        <v/>
      </c>
      <c r="C22" s="496">
        <f>IF(D11="","-",+C21+1)</f>
        <v>2015</v>
      </c>
      <c r="D22" s="506">
        <v>908982.82453344099</v>
      </c>
      <c r="E22" s="499">
        <v>17053.169324992024</v>
      </c>
      <c r="F22" s="506">
        <v>891929.655208449</v>
      </c>
      <c r="G22" s="499">
        <v>108980.29004264352</v>
      </c>
      <c r="H22" s="500">
        <v>108980.29004264352</v>
      </c>
      <c r="I22" s="501">
        <v>0</v>
      </c>
      <c r="J22" s="501"/>
      <c r="K22" s="507">
        <f t="shared" si="1"/>
        <v>108980.29004264352</v>
      </c>
      <c r="L22" s="505">
        <f t="shared" si="7"/>
        <v>0</v>
      </c>
      <c r="M22" s="507">
        <f t="shared" si="3"/>
        <v>108980.29004264352</v>
      </c>
      <c r="N22" s="505">
        <f>IF(M22&lt;&gt;0,+H22-M22,0)</f>
        <v>0</v>
      </c>
      <c r="O22" s="505">
        <f>+N22-L22</f>
        <v>0</v>
      </c>
      <c r="P22" s="279"/>
      <c r="R22" s="244"/>
      <c r="S22" s="244"/>
      <c r="T22" s="244"/>
      <c r="U22" s="244"/>
    </row>
    <row r="23" spans="2:21">
      <c r="B23" s="145" t="str">
        <f t="shared" si="6"/>
        <v/>
      </c>
      <c r="C23" s="496">
        <f>IF(D11="","-",+C22+1)</f>
        <v>2016</v>
      </c>
      <c r="D23" s="506">
        <v>891929.655208449</v>
      </c>
      <c r="E23" s="499">
        <v>20483.915040786436</v>
      </c>
      <c r="F23" s="506">
        <v>871445.7401676625</v>
      </c>
      <c r="G23" s="499">
        <v>114495.80398935861</v>
      </c>
      <c r="H23" s="500">
        <v>114495.80398935861</v>
      </c>
      <c r="I23" s="501">
        <f t="shared" si="0"/>
        <v>0</v>
      </c>
      <c r="J23" s="501"/>
      <c r="K23" s="507">
        <f t="shared" ref="K23:K28" si="8">G23</f>
        <v>114495.80398935861</v>
      </c>
      <c r="L23" s="505">
        <f t="shared" si="7"/>
        <v>0</v>
      </c>
      <c r="M23" s="507">
        <f t="shared" ref="M23:M28" si="9">H23</f>
        <v>114495.80398935861</v>
      </c>
      <c r="N23" s="505">
        <f t="shared" si="4"/>
        <v>0</v>
      </c>
      <c r="O23" s="505">
        <f t="shared" si="5"/>
        <v>0</v>
      </c>
      <c r="P23" s="279"/>
      <c r="R23" s="244"/>
      <c r="S23" s="244"/>
      <c r="T23" s="244"/>
      <c r="U23" s="244"/>
    </row>
    <row r="24" spans="2:21">
      <c r="B24" s="145" t="str">
        <f t="shared" si="6"/>
        <v/>
      </c>
      <c r="C24" s="496">
        <f>IF(D11="","-",+C23+1)</f>
        <v>2017</v>
      </c>
      <c r="D24" s="506">
        <v>871445.7401676625</v>
      </c>
      <c r="E24" s="499">
        <v>19382.334130313378</v>
      </c>
      <c r="F24" s="506">
        <v>852063.40603734914</v>
      </c>
      <c r="G24" s="499">
        <v>114123.60807449113</v>
      </c>
      <c r="H24" s="500">
        <v>114123.60807449113</v>
      </c>
      <c r="I24" s="501">
        <f t="shared" si="0"/>
        <v>0</v>
      </c>
      <c r="J24" s="501"/>
      <c r="K24" s="507">
        <f t="shared" si="8"/>
        <v>114123.60807449113</v>
      </c>
      <c r="L24" s="505">
        <f t="shared" si="7"/>
        <v>0</v>
      </c>
      <c r="M24" s="507">
        <f t="shared" si="9"/>
        <v>114123.60807449113</v>
      </c>
      <c r="N24" s="505">
        <f>IF(M24&lt;&gt;0,+H24-M24,0)</f>
        <v>0</v>
      </c>
      <c r="O24" s="505">
        <f>+N24-L24</f>
        <v>0</v>
      </c>
      <c r="P24" s="279"/>
      <c r="R24" s="244"/>
      <c r="S24" s="244"/>
      <c r="T24" s="244"/>
      <c r="U24" s="244"/>
    </row>
    <row r="25" spans="2:21">
      <c r="B25" s="145" t="str">
        <f t="shared" si="6"/>
        <v/>
      </c>
      <c r="C25" s="496">
        <f>IF(D11="","-",+C24+1)</f>
        <v>2018</v>
      </c>
      <c r="D25" s="506">
        <v>852063.40603734914</v>
      </c>
      <c r="E25" s="499">
        <v>24175.777145778226</v>
      </c>
      <c r="F25" s="506">
        <v>827887.62889157096</v>
      </c>
      <c r="G25" s="499">
        <v>122865.36332508046</v>
      </c>
      <c r="H25" s="500">
        <v>122865.36332508046</v>
      </c>
      <c r="I25" s="501">
        <f t="shared" si="0"/>
        <v>0</v>
      </c>
      <c r="J25" s="501"/>
      <c r="K25" s="507">
        <f t="shared" si="8"/>
        <v>122865.36332508046</v>
      </c>
      <c r="L25" s="505">
        <f t="shared" si="7"/>
        <v>0</v>
      </c>
      <c r="M25" s="507">
        <f t="shared" si="9"/>
        <v>122865.36332508046</v>
      </c>
      <c r="N25" s="505">
        <f>IF(M25&lt;&gt;0,+H25-M25,0)</f>
        <v>0</v>
      </c>
      <c r="O25" s="505">
        <f>+N25-L25</f>
        <v>0</v>
      </c>
      <c r="P25" s="279"/>
      <c r="R25" s="244"/>
      <c r="S25" s="244"/>
      <c r="T25" s="244"/>
      <c r="U25" s="244"/>
    </row>
    <row r="26" spans="2:21">
      <c r="B26" s="145" t="str">
        <f t="shared" si="6"/>
        <v/>
      </c>
      <c r="C26" s="496">
        <f>IF(D11="","-",+C25+1)</f>
        <v>2019</v>
      </c>
      <c r="D26" s="506">
        <v>827887.62889157096</v>
      </c>
      <c r="E26" s="499">
        <v>24175.777145778226</v>
      </c>
      <c r="F26" s="506">
        <v>803711.85174579278</v>
      </c>
      <c r="G26" s="499">
        <v>120024.92644034608</v>
      </c>
      <c r="H26" s="500">
        <v>120024.92644034608</v>
      </c>
      <c r="I26" s="501">
        <f t="shared" si="0"/>
        <v>0</v>
      </c>
      <c r="J26" s="501"/>
      <c r="K26" s="507">
        <f t="shared" si="8"/>
        <v>120024.92644034608</v>
      </c>
      <c r="L26" s="505">
        <f t="shared" ref="L26" si="10">IF(K26&lt;&gt;0,+G26-K26,0)</f>
        <v>0</v>
      </c>
      <c r="M26" s="507">
        <f t="shared" si="9"/>
        <v>120024.92644034608</v>
      </c>
      <c r="N26" s="505">
        <f>IF(M26&lt;&gt;0,+H26-M26,0)</f>
        <v>0</v>
      </c>
      <c r="O26" s="505">
        <f>+N26-L26</f>
        <v>0</v>
      </c>
      <c r="P26" s="279"/>
      <c r="R26" s="244"/>
      <c r="S26" s="244"/>
      <c r="T26" s="244"/>
      <c r="U26" s="244"/>
    </row>
    <row r="27" spans="2:21">
      <c r="B27" s="145" t="str">
        <f t="shared" si="6"/>
        <v/>
      </c>
      <c r="C27" s="496">
        <f>IF(D11="","-",+C26+1)</f>
        <v>2020</v>
      </c>
      <c r="D27" s="506">
        <v>803711.85174579278</v>
      </c>
      <c r="E27" s="499">
        <v>28865.315662076879</v>
      </c>
      <c r="F27" s="506">
        <v>774846.53608371585</v>
      </c>
      <c r="G27" s="499">
        <v>111686.32809259798</v>
      </c>
      <c r="H27" s="500">
        <v>111686.32809259798</v>
      </c>
      <c r="I27" s="501">
        <f t="shared" si="0"/>
        <v>0</v>
      </c>
      <c r="J27" s="501"/>
      <c r="K27" s="507">
        <f t="shared" si="8"/>
        <v>111686.32809259798</v>
      </c>
      <c r="L27" s="505">
        <f t="shared" ref="L27" si="11">IF(K27&lt;&gt;0,+G27-K27,0)</f>
        <v>0</v>
      </c>
      <c r="M27" s="507">
        <f t="shared" si="9"/>
        <v>111686.32809259798</v>
      </c>
      <c r="N27" s="505">
        <f t="shared" si="4"/>
        <v>0</v>
      </c>
      <c r="O27" s="505">
        <f t="shared" si="5"/>
        <v>0</v>
      </c>
      <c r="P27" s="279"/>
      <c r="R27" s="244"/>
      <c r="S27" s="244"/>
      <c r="T27" s="244"/>
      <c r="U27" s="244"/>
    </row>
    <row r="28" spans="2:21">
      <c r="B28" s="145" t="str">
        <f t="shared" si="6"/>
        <v>IU</v>
      </c>
      <c r="C28" s="496">
        <f>IF(D11="","-",+C27+1)</f>
        <v>2021</v>
      </c>
      <c r="D28" s="506">
        <v>769785.29400309315</v>
      </c>
      <c r="E28" s="499">
        <v>31799.269032258064</v>
      </c>
      <c r="F28" s="506">
        <v>737986.02497083507</v>
      </c>
      <c r="G28" s="499">
        <v>113358.4397541738</v>
      </c>
      <c r="H28" s="500">
        <v>113358.4397541738</v>
      </c>
      <c r="I28" s="501">
        <f t="shared" si="0"/>
        <v>0</v>
      </c>
      <c r="J28" s="501"/>
      <c r="K28" s="507">
        <f t="shared" si="8"/>
        <v>113358.4397541738</v>
      </c>
      <c r="L28" s="505">
        <f t="shared" ref="L28" si="12">IF(K28&lt;&gt;0,+G28-K28,0)</f>
        <v>0</v>
      </c>
      <c r="M28" s="507">
        <f t="shared" si="9"/>
        <v>113358.4397541738</v>
      </c>
      <c r="N28" s="505">
        <f t="shared" si="4"/>
        <v>0</v>
      </c>
      <c r="O28" s="505">
        <f t="shared" si="5"/>
        <v>0</v>
      </c>
      <c r="P28" s="279"/>
      <c r="R28" s="244"/>
      <c r="S28" s="244"/>
      <c r="T28" s="244"/>
      <c r="U28" s="244"/>
    </row>
    <row r="29" spans="2:21">
      <c r="B29" s="145" t="str">
        <f t="shared" si="6"/>
        <v>IU</v>
      </c>
      <c r="C29" s="496">
        <f>IF(D11="","-",+C28+1)</f>
        <v>2022</v>
      </c>
      <c r="D29" s="509">
        <f>IF(F28+SUM(E$17:E28)=D$10,F28,D$10-SUM(E$17:E28))</f>
        <v>743047.26705145766</v>
      </c>
      <c r="E29" s="510">
        <f>IF(+I14&lt;F28,I14,D29)</f>
        <v>28993.451176470586</v>
      </c>
      <c r="F29" s="511">
        <f t="shared" ref="F29:F49" si="13">+D29-E29</f>
        <v>714053.81587498705</v>
      </c>
      <c r="G29" s="512">
        <f t="shared" ref="G29:G73" si="14">(D29+F29)/2*I$12+E29</f>
        <v>106523.72252593676</v>
      </c>
      <c r="H29" s="478">
        <f t="shared" ref="H29:H73" si="15">+(D29+F29)/2*I$13+E29</f>
        <v>106523.72252593676</v>
      </c>
      <c r="I29" s="501">
        <f t="shared" si="0"/>
        <v>0</v>
      </c>
      <c r="J29" s="501"/>
      <c r="K29" s="513"/>
      <c r="L29" s="505">
        <f t="shared" si="2"/>
        <v>0</v>
      </c>
      <c r="M29" s="513"/>
      <c r="N29" s="505">
        <f t="shared" si="4"/>
        <v>0</v>
      </c>
      <c r="O29" s="505">
        <f t="shared" si="5"/>
        <v>0</v>
      </c>
      <c r="P29" s="279"/>
      <c r="R29" s="244"/>
      <c r="S29" s="244"/>
      <c r="T29" s="244"/>
      <c r="U29" s="244"/>
    </row>
    <row r="30" spans="2:21">
      <c r="B30" s="145" t="str">
        <f t="shared" si="6"/>
        <v/>
      </c>
      <c r="C30" s="496">
        <f>IF(D11="","-",+C29+1)</f>
        <v>2023</v>
      </c>
      <c r="D30" s="509">
        <f>IF(F29+SUM(E$17:E29)=D$10,F29,D$10-SUM(E$17:E29))</f>
        <v>714053.81587498705</v>
      </c>
      <c r="E30" s="510">
        <f>IF(+I14&lt;F29,I14,D30)</f>
        <v>28993.451176470586</v>
      </c>
      <c r="F30" s="511">
        <f t="shared" si="13"/>
        <v>685060.36469851644</v>
      </c>
      <c r="G30" s="512">
        <f t="shared" si="14"/>
        <v>103438.32211904852</v>
      </c>
      <c r="H30" s="478">
        <f t="shared" si="15"/>
        <v>103438.32211904852</v>
      </c>
      <c r="I30" s="501">
        <f t="shared" si="0"/>
        <v>0</v>
      </c>
      <c r="J30" s="501"/>
      <c r="K30" s="513"/>
      <c r="L30" s="505">
        <f t="shared" si="2"/>
        <v>0</v>
      </c>
      <c r="M30" s="513"/>
      <c r="N30" s="505">
        <f t="shared" si="4"/>
        <v>0</v>
      </c>
      <c r="O30" s="505">
        <f t="shared" si="5"/>
        <v>0</v>
      </c>
      <c r="P30" s="279"/>
      <c r="R30" s="244"/>
      <c r="S30" s="244"/>
      <c r="T30" s="244"/>
      <c r="U30" s="244"/>
    </row>
    <row r="31" spans="2:21">
      <c r="B31" s="145" t="str">
        <f t="shared" si="6"/>
        <v/>
      </c>
      <c r="C31" s="496">
        <f>IF(D11="","-",+C30+1)</f>
        <v>2024</v>
      </c>
      <c r="D31" s="509">
        <f>IF(F30+SUM(E$17:E30)=D$10,F30,D$10-SUM(E$17:E30))</f>
        <v>685060.36469851644</v>
      </c>
      <c r="E31" s="510">
        <f>IF(+I14&lt;F30,I14,D31)</f>
        <v>28993.451176470586</v>
      </c>
      <c r="F31" s="511">
        <f t="shared" si="13"/>
        <v>656066.91352204583</v>
      </c>
      <c r="G31" s="512">
        <f t="shared" si="14"/>
        <v>100352.92171216029</v>
      </c>
      <c r="H31" s="478">
        <f t="shared" si="15"/>
        <v>100352.92171216029</v>
      </c>
      <c r="I31" s="501">
        <f t="shared" si="0"/>
        <v>0</v>
      </c>
      <c r="J31" s="501"/>
      <c r="K31" s="513"/>
      <c r="L31" s="505">
        <f t="shared" si="2"/>
        <v>0</v>
      </c>
      <c r="M31" s="513"/>
      <c r="N31" s="505">
        <f t="shared" si="4"/>
        <v>0</v>
      </c>
      <c r="O31" s="505">
        <f t="shared" si="5"/>
        <v>0</v>
      </c>
      <c r="P31" s="279"/>
      <c r="Q31" s="221"/>
      <c r="R31" s="279"/>
      <c r="S31" s="279"/>
      <c r="T31" s="279"/>
      <c r="U31" s="244"/>
    </row>
    <row r="32" spans="2:21">
      <c r="B32" s="145" t="str">
        <f t="shared" si="6"/>
        <v/>
      </c>
      <c r="C32" s="496">
        <f>IF(D12="","-",+C31+1)</f>
        <v>2025</v>
      </c>
      <c r="D32" s="509">
        <f>IF(F31+SUM(E$17:E31)=D$10,F31,D$10-SUM(E$17:E31))</f>
        <v>656066.91352204583</v>
      </c>
      <c r="E32" s="510">
        <f>IF(+I14&lt;F31,I14,D32)</f>
        <v>28993.451176470586</v>
      </c>
      <c r="F32" s="511">
        <f>+D32-E32</f>
        <v>627073.46234557522</v>
      </c>
      <c r="G32" s="512">
        <f t="shared" si="14"/>
        <v>97267.521305272065</v>
      </c>
      <c r="H32" s="478">
        <f t="shared" si="15"/>
        <v>97267.521305272065</v>
      </c>
      <c r="I32" s="501">
        <f>H32-G32</f>
        <v>0</v>
      </c>
      <c r="J32" s="501"/>
      <c r="K32" s="513"/>
      <c r="L32" s="505"/>
      <c r="M32" s="513"/>
      <c r="N32" s="505"/>
      <c r="O32" s="505"/>
      <c r="P32" s="279"/>
      <c r="Q32" s="221"/>
      <c r="R32" s="279"/>
      <c r="S32" s="279"/>
      <c r="T32" s="279"/>
      <c r="U32" s="244"/>
    </row>
    <row r="33" spans="2:21">
      <c r="B33" s="145" t="str">
        <f t="shared" si="6"/>
        <v/>
      </c>
      <c r="C33" s="496">
        <f>IF(D13="","-",+C32+1)</f>
        <v>2026</v>
      </c>
      <c r="D33" s="509">
        <f>IF(F32+SUM(E$17:E32)=D$10,F32,D$10-SUM(E$17:E32))</f>
        <v>627073.46234557522</v>
      </c>
      <c r="E33" s="510">
        <f>IF(+I14&lt;F31,I14,D33)</f>
        <v>28993.451176470586</v>
      </c>
      <c r="F33" s="511">
        <f t="shared" si="13"/>
        <v>598080.0111691046</v>
      </c>
      <c r="G33" s="512">
        <f t="shared" si="14"/>
        <v>94182.120898383844</v>
      </c>
      <c r="H33" s="478">
        <f t="shared" si="15"/>
        <v>94182.120898383844</v>
      </c>
      <c r="I33" s="501">
        <f t="shared" si="0"/>
        <v>0</v>
      </c>
      <c r="J33" s="501"/>
      <c r="K33" s="513"/>
      <c r="L33" s="505">
        <f t="shared" si="2"/>
        <v>0</v>
      </c>
      <c r="M33" s="513"/>
      <c r="N33" s="505">
        <f t="shared" si="4"/>
        <v>0</v>
      </c>
      <c r="O33" s="505">
        <f t="shared" si="5"/>
        <v>0</v>
      </c>
      <c r="P33" s="279"/>
      <c r="R33" s="244"/>
      <c r="S33" s="244"/>
      <c r="T33" s="244"/>
      <c r="U33" s="244"/>
    </row>
    <row r="34" spans="2:21">
      <c r="B34" s="145" t="str">
        <f t="shared" si="6"/>
        <v/>
      </c>
      <c r="C34" s="514">
        <f>IF(D11="","-",+C33+1)</f>
        <v>2027</v>
      </c>
      <c r="D34" s="582">
        <f>IF(F33+SUM(E$17:E33)=D$10,F33,D$10-SUM(E$17:E33))</f>
        <v>598080.0111691046</v>
      </c>
      <c r="E34" s="516">
        <f>IF(+I14&lt;F33,I14,D34)</f>
        <v>28993.451176470586</v>
      </c>
      <c r="F34" s="517">
        <f t="shared" si="13"/>
        <v>569086.55999263399</v>
      </c>
      <c r="G34" s="518">
        <f t="shared" si="14"/>
        <v>91096.720491495609</v>
      </c>
      <c r="H34" s="519">
        <f t="shared" si="15"/>
        <v>91096.720491495609</v>
      </c>
      <c r="I34" s="520">
        <f t="shared" si="0"/>
        <v>0</v>
      </c>
      <c r="J34" s="520"/>
      <c r="K34" s="521"/>
      <c r="L34" s="522">
        <f t="shared" si="2"/>
        <v>0</v>
      </c>
      <c r="M34" s="521"/>
      <c r="N34" s="522">
        <f t="shared" si="4"/>
        <v>0</v>
      </c>
      <c r="O34" s="522">
        <f t="shared" si="5"/>
        <v>0</v>
      </c>
      <c r="P34" s="523"/>
      <c r="Q34" s="217"/>
      <c r="R34" s="523"/>
      <c r="S34" s="523"/>
      <c r="T34" s="523"/>
      <c r="U34" s="244"/>
    </row>
    <row r="35" spans="2:21">
      <c r="B35" s="145" t="str">
        <f t="shared" si="6"/>
        <v/>
      </c>
      <c r="C35" s="496">
        <f>IF(D11="","-",+C34+1)</f>
        <v>2028</v>
      </c>
      <c r="D35" s="509">
        <f>IF(F34+SUM(E$17:E34)=D$10,F34,D$10-SUM(E$17:E34))</f>
        <v>569086.55999263399</v>
      </c>
      <c r="E35" s="510">
        <f>IF(+I14&lt;F34,I14,D35)</f>
        <v>28993.451176470586</v>
      </c>
      <c r="F35" s="511">
        <f t="shared" si="13"/>
        <v>540093.10881616338</v>
      </c>
      <c r="G35" s="512">
        <f t="shared" si="14"/>
        <v>88011.320084607374</v>
      </c>
      <c r="H35" s="478">
        <f t="shared" si="15"/>
        <v>88011.320084607374</v>
      </c>
      <c r="I35" s="501">
        <f t="shared" si="0"/>
        <v>0</v>
      </c>
      <c r="J35" s="501"/>
      <c r="K35" s="513"/>
      <c r="L35" s="505">
        <f t="shared" si="2"/>
        <v>0</v>
      </c>
      <c r="M35" s="513"/>
      <c r="N35" s="505">
        <f t="shared" si="4"/>
        <v>0</v>
      </c>
      <c r="O35" s="505">
        <f t="shared" si="5"/>
        <v>0</v>
      </c>
      <c r="P35" s="279"/>
      <c r="R35" s="244"/>
      <c r="S35" s="244"/>
      <c r="T35" s="244"/>
      <c r="U35" s="244"/>
    </row>
    <row r="36" spans="2:21">
      <c r="B36" s="145" t="str">
        <f t="shared" si="6"/>
        <v/>
      </c>
      <c r="C36" s="496">
        <f>IF(D11="","-",+C35+1)</f>
        <v>2029</v>
      </c>
      <c r="D36" s="509">
        <f>IF(F35+SUM(E$17:E35)=D$10,F35,D$10-SUM(E$17:E35))</f>
        <v>540093.10881616338</v>
      </c>
      <c r="E36" s="510">
        <f>IF(+I14&lt;F35,I14,D36)</f>
        <v>28993.451176470586</v>
      </c>
      <c r="F36" s="511">
        <f t="shared" si="13"/>
        <v>511099.65763969277</v>
      </c>
      <c r="G36" s="512">
        <f t="shared" si="14"/>
        <v>84925.919677719154</v>
      </c>
      <c r="H36" s="478">
        <f t="shared" si="15"/>
        <v>84925.919677719154</v>
      </c>
      <c r="I36" s="501">
        <f t="shared" si="0"/>
        <v>0</v>
      </c>
      <c r="J36" s="501"/>
      <c r="K36" s="513"/>
      <c r="L36" s="505">
        <f t="shared" si="2"/>
        <v>0</v>
      </c>
      <c r="M36" s="513"/>
      <c r="N36" s="505">
        <f t="shared" si="4"/>
        <v>0</v>
      </c>
      <c r="O36" s="505">
        <f t="shared" si="5"/>
        <v>0</v>
      </c>
      <c r="P36" s="279"/>
      <c r="R36" s="244"/>
      <c r="S36" s="244"/>
      <c r="T36" s="244"/>
      <c r="U36" s="244"/>
    </row>
    <row r="37" spans="2:21">
      <c r="B37" s="145" t="str">
        <f t="shared" si="6"/>
        <v/>
      </c>
      <c r="C37" s="496">
        <f>IF(D11="","-",+C36+1)</f>
        <v>2030</v>
      </c>
      <c r="D37" s="509">
        <f>IF(F36+SUM(E$17:E36)=D$10,F36,D$10-SUM(E$17:E36))</f>
        <v>511099.65763969277</v>
      </c>
      <c r="E37" s="510">
        <f>IF(+I14&lt;F36,I14,D37)</f>
        <v>28993.451176470586</v>
      </c>
      <c r="F37" s="511">
        <f t="shared" si="13"/>
        <v>482106.20646322216</v>
      </c>
      <c r="G37" s="512">
        <f t="shared" si="14"/>
        <v>81840.519270830919</v>
      </c>
      <c r="H37" s="478">
        <f t="shared" si="15"/>
        <v>81840.519270830919</v>
      </c>
      <c r="I37" s="501">
        <f t="shared" si="0"/>
        <v>0</v>
      </c>
      <c r="J37" s="501"/>
      <c r="K37" s="513"/>
      <c r="L37" s="505">
        <f t="shared" si="2"/>
        <v>0</v>
      </c>
      <c r="M37" s="513"/>
      <c r="N37" s="505">
        <f t="shared" si="4"/>
        <v>0</v>
      </c>
      <c r="O37" s="505">
        <f t="shared" si="5"/>
        <v>0</v>
      </c>
      <c r="P37" s="279"/>
      <c r="R37" s="244"/>
      <c r="S37" s="244"/>
      <c r="T37" s="244"/>
      <c r="U37" s="244"/>
    </row>
    <row r="38" spans="2:21">
      <c r="B38" s="145" t="str">
        <f t="shared" si="6"/>
        <v/>
      </c>
      <c r="C38" s="496">
        <f>IF(D11="","-",+C37+1)</f>
        <v>2031</v>
      </c>
      <c r="D38" s="509">
        <f>IF(F37+SUM(E$17:E37)=D$10,F37,D$10-SUM(E$17:E37))</f>
        <v>482106.20646322216</v>
      </c>
      <c r="E38" s="510">
        <f>IF(+I14&lt;F37,I14,D38)</f>
        <v>28993.451176470586</v>
      </c>
      <c r="F38" s="511">
        <f t="shared" si="13"/>
        <v>453112.75528675155</v>
      </c>
      <c r="G38" s="512">
        <f t="shared" si="14"/>
        <v>78755.118863942698</v>
      </c>
      <c r="H38" s="478">
        <f t="shared" si="15"/>
        <v>78755.118863942698</v>
      </c>
      <c r="I38" s="501">
        <f t="shared" si="0"/>
        <v>0</v>
      </c>
      <c r="J38" s="501"/>
      <c r="K38" s="513"/>
      <c r="L38" s="505">
        <f t="shared" si="2"/>
        <v>0</v>
      </c>
      <c r="M38" s="513"/>
      <c r="N38" s="505">
        <f t="shared" si="4"/>
        <v>0</v>
      </c>
      <c r="O38" s="505">
        <f t="shared" si="5"/>
        <v>0</v>
      </c>
      <c r="P38" s="279"/>
      <c r="R38" s="244"/>
      <c r="S38" s="244"/>
      <c r="T38" s="244"/>
      <c r="U38" s="244"/>
    </row>
    <row r="39" spans="2:21">
      <c r="B39" s="145" t="str">
        <f t="shared" si="6"/>
        <v/>
      </c>
      <c r="C39" s="496">
        <f>IF(D11="","-",+C38+1)</f>
        <v>2032</v>
      </c>
      <c r="D39" s="509">
        <f>IF(F38+SUM(E$17:E38)=D$10,F38,D$10-SUM(E$17:E38))</f>
        <v>453112.75528675155</v>
      </c>
      <c r="E39" s="510">
        <f>IF(+I14&lt;F38,I14,D39)</f>
        <v>28993.451176470586</v>
      </c>
      <c r="F39" s="511">
        <f t="shared" si="13"/>
        <v>424119.30411028094</v>
      </c>
      <c r="G39" s="512">
        <f t="shared" si="14"/>
        <v>75669.718457054463</v>
      </c>
      <c r="H39" s="478">
        <f t="shared" si="15"/>
        <v>75669.718457054463</v>
      </c>
      <c r="I39" s="501">
        <f t="shared" si="0"/>
        <v>0</v>
      </c>
      <c r="J39" s="501"/>
      <c r="K39" s="513"/>
      <c r="L39" s="505">
        <f t="shared" si="2"/>
        <v>0</v>
      </c>
      <c r="M39" s="513"/>
      <c r="N39" s="505">
        <f t="shared" si="4"/>
        <v>0</v>
      </c>
      <c r="O39" s="505">
        <f t="shared" si="5"/>
        <v>0</v>
      </c>
      <c r="P39" s="279"/>
      <c r="R39" s="244"/>
      <c r="S39" s="244"/>
      <c r="T39" s="244"/>
      <c r="U39" s="244"/>
    </row>
    <row r="40" spans="2:21">
      <c r="B40" s="145" t="str">
        <f t="shared" si="6"/>
        <v/>
      </c>
      <c r="C40" s="496">
        <f>IF(D11="","-",+C39+1)</f>
        <v>2033</v>
      </c>
      <c r="D40" s="509">
        <f>IF(F39+SUM(E$17:E39)=D$10,F39,D$10-SUM(E$17:E39))</f>
        <v>424119.30411028094</v>
      </c>
      <c r="E40" s="510">
        <f>IF(+I14&lt;F39,I14,D40)</f>
        <v>28993.451176470586</v>
      </c>
      <c r="F40" s="511">
        <f t="shared" si="13"/>
        <v>395125.85293381033</v>
      </c>
      <c r="G40" s="512">
        <f t="shared" si="14"/>
        <v>72584.318050166243</v>
      </c>
      <c r="H40" s="478">
        <f t="shared" si="15"/>
        <v>72584.318050166243</v>
      </c>
      <c r="I40" s="501">
        <f t="shared" si="0"/>
        <v>0</v>
      </c>
      <c r="J40" s="501"/>
      <c r="K40" s="513"/>
      <c r="L40" s="505">
        <f t="shared" si="2"/>
        <v>0</v>
      </c>
      <c r="M40" s="513"/>
      <c r="N40" s="505">
        <f t="shared" si="4"/>
        <v>0</v>
      </c>
      <c r="O40" s="505">
        <f t="shared" si="5"/>
        <v>0</v>
      </c>
      <c r="P40" s="279"/>
      <c r="R40" s="244"/>
      <c r="S40" s="244"/>
      <c r="T40" s="244"/>
      <c r="U40" s="244"/>
    </row>
    <row r="41" spans="2:21">
      <c r="B41" s="145" t="str">
        <f t="shared" si="6"/>
        <v/>
      </c>
      <c r="C41" s="496">
        <f>IF(D12="","-",+C40+1)</f>
        <v>2034</v>
      </c>
      <c r="D41" s="509">
        <f>IF(F40+SUM(E$17:E40)=D$10,F40,D$10-SUM(E$17:E40))</f>
        <v>395125.85293381033</v>
      </c>
      <c r="E41" s="510">
        <f>IF(+I14&lt;F40,I14,D41)</f>
        <v>28993.451176470586</v>
      </c>
      <c r="F41" s="511">
        <f t="shared" si="13"/>
        <v>366132.40175733971</v>
      </c>
      <c r="G41" s="512">
        <f t="shared" si="14"/>
        <v>69498.917643278008</v>
      </c>
      <c r="H41" s="478">
        <f t="shared" si="15"/>
        <v>69498.917643278008</v>
      </c>
      <c r="I41" s="501">
        <f t="shared" si="0"/>
        <v>0</v>
      </c>
      <c r="J41" s="501"/>
      <c r="K41" s="513"/>
      <c r="L41" s="505">
        <f t="shared" si="2"/>
        <v>0</v>
      </c>
      <c r="M41" s="513"/>
      <c r="N41" s="505">
        <f t="shared" si="4"/>
        <v>0</v>
      </c>
      <c r="O41" s="505">
        <f t="shared" si="5"/>
        <v>0</v>
      </c>
      <c r="P41" s="279"/>
      <c r="R41" s="244"/>
      <c r="S41" s="244"/>
      <c r="T41" s="244"/>
      <c r="U41" s="244"/>
    </row>
    <row r="42" spans="2:21">
      <c r="B42" s="145" t="str">
        <f t="shared" si="6"/>
        <v/>
      </c>
      <c r="C42" s="496">
        <f>IF(D13="","-",+C41+1)</f>
        <v>2035</v>
      </c>
      <c r="D42" s="509">
        <f>IF(F41+SUM(E$17:E41)=D$10,F41,D$10-SUM(E$17:E41))</f>
        <v>366132.40175733971</v>
      </c>
      <c r="E42" s="510">
        <f>IF(+I14&lt;F41,I14,D42)</f>
        <v>28993.451176470586</v>
      </c>
      <c r="F42" s="511">
        <f t="shared" si="13"/>
        <v>337138.9505808691</v>
      </c>
      <c r="G42" s="512">
        <f t="shared" si="14"/>
        <v>66413.517236389773</v>
      </c>
      <c r="H42" s="478">
        <f t="shared" si="15"/>
        <v>66413.517236389773</v>
      </c>
      <c r="I42" s="501">
        <f t="shared" si="0"/>
        <v>0</v>
      </c>
      <c r="J42" s="501"/>
      <c r="K42" s="513"/>
      <c r="L42" s="505">
        <f t="shared" si="2"/>
        <v>0</v>
      </c>
      <c r="M42" s="513"/>
      <c r="N42" s="505">
        <f t="shared" si="4"/>
        <v>0</v>
      </c>
      <c r="O42" s="505">
        <f t="shared" si="5"/>
        <v>0</v>
      </c>
      <c r="P42" s="279"/>
      <c r="R42" s="244"/>
      <c r="S42" s="244"/>
      <c r="T42" s="244"/>
      <c r="U42" s="244"/>
    </row>
    <row r="43" spans="2:21">
      <c r="B43" s="145" t="str">
        <f t="shared" si="6"/>
        <v/>
      </c>
      <c r="C43" s="496">
        <f>IF(D11="","-",+C42+1)</f>
        <v>2036</v>
      </c>
      <c r="D43" s="509">
        <f>IF(F42+SUM(E$17:E42)=D$10,F42,D$10-SUM(E$17:E42))</f>
        <v>337138.9505808691</v>
      </c>
      <c r="E43" s="510">
        <f>IF(+I14&lt;F42,I14,D43)</f>
        <v>28993.451176470586</v>
      </c>
      <c r="F43" s="511">
        <f t="shared" si="13"/>
        <v>308145.49940439849</v>
      </c>
      <c r="G43" s="512">
        <f t="shared" si="14"/>
        <v>63328.116829501552</v>
      </c>
      <c r="H43" s="478">
        <f t="shared" si="15"/>
        <v>63328.116829501552</v>
      </c>
      <c r="I43" s="501">
        <f t="shared" si="0"/>
        <v>0</v>
      </c>
      <c r="J43" s="501"/>
      <c r="K43" s="513"/>
      <c r="L43" s="505">
        <f t="shared" si="2"/>
        <v>0</v>
      </c>
      <c r="M43" s="513"/>
      <c r="N43" s="505">
        <f t="shared" si="4"/>
        <v>0</v>
      </c>
      <c r="O43" s="505">
        <f t="shared" si="5"/>
        <v>0</v>
      </c>
      <c r="P43" s="279"/>
      <c r="R43" s="244"/>
      <c r="S43" s="244"/>
      <c r="T43" s="244"/>
      <c r="U43" s="244"/>
    </row>
    <row r="44" spans="2:21">
      <c r="B44" s="145" t="str">
        <f t="shared" si="6"/>
        <v/>
      </c>
      <c r="C44" s="496">
        <f>IF(D11="","-",+C43+1)</f>
        <v>2037</v>
      </c>
      <c r="D44" s="509">
        <f>IF(F43+SUM(E$17:E43)=D$10,F43,D$10-SUM(E$17:E43))</f>
        <v>308145.49940439849</v>
      </c>
      <c r="E44" s="510">
        <f>IF(+I14&lt;F43,I14,D44)</f>
        <v>28993.451176470586</v>
      </c>
      <c r="F44" s="511">
        <f t="shared" si="13"/>
        <v>279152.04822792788</v>
      </c>
      <c r="G44" s="512">
        <f t="shared" si="14"/>
        <v>60242.716422613317</v>
      </c>
      <c r="H44" s="478">
        <f t="shared" si="15"/>
        <v>60242.716422613317</v>
      </c>
      <c r="I44" s="501">
        <f t="shared" si="0"/>
        <v>0</v>
      </c>
      <c r="J44" s="501"/>
      <c r="K44" s="513"/>
      <c r="L44" s="505">
        <f t="shared" si="2"/>
        <v>0</v>
      </c>
      <c r="M44" s="513"/>
      <c r="N44" s="505">
        <f t="shared" si="4"/>
        <v>0</v>
      </c>
      <c r="O44" s="505">
        <f t="shared" si="5"/>
        <v>0</v>
      </c>
      <c r="P44" s="279"/>
      <c r="R44" s="244"/>
      <c r="S44" s="244"/>
      <c r="T44" s="244"/>
      <c r="U44" s="244"/>
    </row>
    <row r="45" spans="2:21">
      <c r="B45" s="145" t="str">
        <f t="shared" si="6"/>
        <v/>
      </c>
      <c r="C45" s="496">
        <f>IF(D11="","-",+C44+1)</f>
        <v>2038</v>
      </c>
      <c r="D45" s="509">
        <f>IF(F44+SUM(E$17:E44)=D$10,F44,D$10-SUM(E$17:E44))</f>
        <v>279152.04822792788</v>
      </c>
      <c r="E45" s="510">
        <f>IF(+I14&lt;F44,I14,D45)</f>
        <v>28993.451176470586</v>
      </c>
      <c r="F45" s="511">
        <f t="shared" si="13"/>
        <v>250158.5970514573</v>
      </c>
      <c r="G45" s="512">
        <f t="shared" si="14"/>
        <v>57157.316015725097</v>
      </c>
      <c r="H45" s="478">
        <f t="shared" si="15"/>
        <v>57157.316015725097</v>
      </c>
      <c r="I45" s="501">
        <f t="shared" si="0"/>
        <v>0</v>
      </c>
      <c r="J45" s="501"/>
      <c r="K45" s="513"/>
      <c r="L45" s="505">
        <f t="shared" si="2"/>
        <v>0</v>
      </c>
      <c r="M45" s="513"/>
      <c r="N45" s="505">
        <f t="shared" si="4"/>
        <v>0</v>
      </c>
      <c r="O45" s="505">
        <f t="shared" si="5"/>
        <v>0</v>
      </c>
      <c r="P45" s="279"/>
      <c r="R45" s="244"/>
      <c r="S45" s="244"/>
      <c r="T45" s="244"/>
      <c r="U45" s="244"/>
    </row>
    <row r="46" spans="2:21">
      <c r="B46" s="145" t="str">
        <f t="shared" si="6"/>
        <v/>
      </c>
      <c r="C46" s="496">
        <f>IF(D11="","-",+C45+1)</f>
        <v>2039</v>
      </c>
      <c r="D46" s="509">
        <f>IF(F45+SUM(E$17:E45)=D$10,F45,D$10-SUM(E$17:E45))</f>
        <v>250158.5970514573</v>
      </c>
      <c r="E46" s="510">
        <f>IF(+I14&lt;F45,I14,D46)</f>
        <v>28993.451176470586</v>
      </c>
      <c r="F46" s="511">
        <f t="shared" si="13"/>
        <v>221165.14587498672</v>
      </c>
      <c r="G46" s="512">
        <f t="shared" si="14"/>
        <v>54071.915608836876</v>
      </c>
      <c r="H46" s="478">
        <f t="shared" si="15"/>
        <v>54071.915608836876</v>
      </c>
      <c r="I46" s="501">
        <f t="shared" si="0"/>
        <v>0</v>
      </c>
      <c r="J46" s="501"/>
      <c r="K46" s="513"/>
      <c r="L46" s="505">
        <f t="shared" si="2"/>
        <v>0</v>
      </c>
      <c r="M46" s="513"/>
      <c r="N46" s="505">
        <f t="shared" si="4"/>
        <v>0</v>
      </c>
      <c r="O46" s="505">
        <f t="shared" si="5"/>
        <v>0</v>
      </c>
      <c r="P46" s="279"/>
      <c r="R46" s="244"/>
      <c r="S46" s="244"/>
      <c r="T46" s="244"/>
      <c r="U46" s="244"/>
    </row>
    <row r="47" spans="2:21">
      <c r="B47" s="145" t="str">
        <f t="shared" si="6"/>
        <v/>
      </c>
      <c r="C47" s="496">
        <f>IF(D11="","-",+C46+1)</f>
        <v>2040</v>
      </c>
      <c r="D47" s="509">
        <f>IF(F46+SUM(E$17:E46)=D$10,F46,D$10-SUM(E$17:E46))</f>
        <v>221165.14587498672</v>
      </c>
      <c r="E47" s="510">
        <f>IF(+I14&lt;F46,I14,D47)</f>
        <v>28993.451176470586</v>
      </c>
      <c r="F47" s="511">
        <f t="shared" si="13"/>
        <v>192171.69469851613</v>
      </c>
      <c r="G47" s="512">
        <f t="shared" si="14"/>
        <v>50986.515201948641</v>
      </c>
      <c r="H47" s="478">
        <f t="shared" si="15"/>
        <v>50986.515201948641</v>
      </c>
      <c r="I47" s="501">
        <f t="shared" si="0"/>
        <v>0</v>
      </c>
      <c r="J47" s="501"/>
      <c r="K47" s="513"/>
      <c r="L47" s="505">
        <f t="shared" si="2"/>
        <v>0</v>
      </c>
      <c r="M47" s="513"/>
      <c r="N47" s="505">
        <f t="shared" si="4"/>
        <v>0</v>
      </c>
      <c r="O47" s="505">
        <f t="shared" si="5"/>
        <v>0</v>
      </c>
      <c r="P47" s="279"/>
      <c r="R47" s="244"/>
      <c r="S47" s="244"/>
      <c r="T47" s="244"/>
      <c r="U47" s="244"/>
    </row>
    <row r="48" spans="2:21">
      <c r="B48" s="145" t="str">
        <f t="shared" si="6"/>
        <v/>
      </c>
      <c r="C48" s="496">
        <f>IF(D11="","-",+C47+1)</f>
        <v>2041</v>
      </c>
      <c r="D48" s="509">
        <f>IF(F47+SUM(E$17:E47)=D$10,F47,D$10-SUM(E$17:E47))</f>
        <v>192171.69469851613</v>
      </c>
      <c r="E48" s="510">
        <f>IF(+I14&lt;F47,I14,D48)</f>
        <v>28993.451176470586</v>
      </c>
      <c r="F48" s="511">
        <f t="shared" si="13"/>
        <v>163178.24352204555</v>
      </c>
      <c r="G48" s="512">
        <f t="shared" si="14"/>
        <v>47901.114795060421</v>
      </c>
      <c r="H48" s="478">
        <f t="shared" si="15"/>
        <v>47901.114795060421</v>
      </c>
      <c r="I48" s="501">
        <f t="shared" si="0"/>
        <v>0</v>
      </c>
      <c r="J48" s="501"/>
      <c r="K48" s="513"/>
      <c r="L48" s="505">
        <f t="shared" si="2"/>
        <v>0</v>
      </c>
      <c r="M48" s="513"/>
      <c r="N48" s="505">
        <f t="shared" si="4"/>
        <v>0</v>
      </c>
      <c r="O48" s="505">
        <f t="shared" si="5"/>
        <v>0</v>
      </c>
      <c r="P48" s="279"/>
      <c r="R48" s="244"/>
      <c r="S48" s="244"/>
      <c r="T48" s="244"/>
      <c r="U48" s="244"/>
    </row>
    <row r="49" spans="2:21">
      <c r="B49" s="145" t="str">
        <f t="shared" si="6"/>
        <v/>
      </c>
      <c r="C49" s="496">
        <f>IF(D11="","-",+C48+1)</f>
        <v>2042</v>
      </c>
      <c r="D49" s="509">
        <f>IF(F48+SUM(E$17:E48)=D$10,F48,D$10-SUM(E$17:E48))</f>
        <v>163178.24352204555</v>
      </c>
      <c r="E49" s="510">
        <f>IF(+I14&lt;F48,I14,D49)</f>
        <v>28993.451176470586</v>
      </c>
      <c r="F49" s="511">
        <f t="shared" si="13"/>
        <v>134184.79234557497</v>
      </c>
      <c r="G49" s="512">
        <f t="shared" si="14"/>
        <v>44815.714388172193</v>
      </c>
      <c r="H49" s="478">
        <f t="shared" si="15"/>
        <v>44815.714388172193</v>
      </c>
      <c r="I49" s="501">
        <f t="shared" si="0"/>
        <v>0</v>
      </c>
      <c r="J49" s="501"/>
      <c r="K49" s="513"/>
      <c r="L49" s="505">
        <f t="shared" si="2"/>
        <v>0</v>
      </c>
      <c r="M49" s="513"/>
      <c r="N49" s="505">
        <f t="shared" si="4"/>
        <v>0</v>
      </c>
      <c r="O49" s="505">
        <f t="shared" si="5"/>
        <v>0</v>
      </c>
      <c r="P49" s="279"/>
      <c r="R49" s="244"/>
      <c r="S49" s="244"/>
      <c r="T49" s="244"/>
      <c r="U49" s="244"/>
    </row>
    <row r="50" spans="2:21">
      <c r="B50" s="145" t="str">
        <f t="shared" si="6"/>
        <v/>
      </c>
      <c r="C50" s="496">
        <f>IF(D11="","-",+C49+1)</f>
        <v>2043</v>
      </c>
      <c r="D50" s="509">
        <f>IF(F49+SUM(E$17:E49)=D$10,F49,D$10-SUM(E$17:E49))</f>
        <v>134184.79234557497</v>
      </c>
      <c r="E50" s="510">
        <f>IF(+I14&lt;F49,I14,D50)</f>
        <v>28993.451176470586</v>
      </c>
      <c r="F50" s="511">
        <f t="shared" ref="F50:F73" si="16">+D50-E50</f>
        <v>105191.34116910439</v>
      </c>
      <c r="G50" s="512">
        <f t="shared" si="14"/>
        <v>41730.313981283965</v>
      </c>
      <c r="H50" s="478">
        <f t="shared" si="15"/>
        <v>41730.313981283965</v>
      </c>
      <c r="I50" s="501">
        <f t="shared" ref="I50:I73" si="17">H50-G50</f>
        <v>0</v>
      </c>
      <c r="J50" s="501"/>
      <c r="K50" s="513"/>
      <c r="L50" s="505">
        <f t="shared" ref="L50:L73" si="18">IF(K50&lt;&gt;0,+G50-K50,0)</f>
        <v>0</v>
      </c>
      <c r="M50" s="513"/>
      <c r="N50" s="505">
        <f t="shared" ref="N50:N73" si="19">IF(M50&lt;&gt;0,+H50-M50,0)</f>
        <v>0</v>
      </c>
      <c r="O50" s="505">
        <f t="shared" ref="O50:O73" si="20">+N50-L50</f>
        <v>0</v>
      </c>
      <c r="P50" s="279"/>
      <c r="R50" s="244"/>
      <c r="S50" s="244"/>
      <c r="T50" s="244"/>
      <c r="U50" s="244"/>
    </row>
    <row r="51" spans="2:21">
      <c r="B51" s="145" t="str">
        <f t="shared" si="6"/>
        <v/>
      </c>
      <c r="C51" s="496">
        <f>IF(D11="","-",+C50+1)</f>
        <v>2044</v>
      </c>
      <c r="D51" s="509">
        <f>IF(F50+SUM(E$17:E50)=D$10,F50,D$10-SUM(E$17:E50))</f>
        <v>105191.34116910439</v>
      </c>
      <c r="E51" s="510">
        <f>IF(+I14&lt;F50,I14,D51)</f>
        <v>28993.451176470586</v>
      </c>
      <c r="F51" s="511">
        <f t="shared" si="16"/>
        <v>76197.889992633805</v>
      </c>
      <c r="G51" s="512">
        <f t="shared" si="14"/>
        <v>38644.913574395745</v>
      </c>
      <c r="H51" s="478">
        <f t="shared" si="15"/>
        <v>38644.913574395745</v>
      </c>
      <c r="I51" s="501">
        <f t="shared" si="17"/>
        <v>0</v>
      </c>
      <c r="J51" s="501"/>
      <c r="K51" s="513"/>
      <c r="L51" s="505">
        <f t="shared" si="18"/>
        <v>0</v>
      </c>
      <c r="M51" s="513"/>
      <c r="N51" s="505">
        <f t="shared" si="19"/>
        <v>0</v>
      </c>
      <c r="O51" s="505">
        <f t="shared" si="20"/>
        <v>0</v>
      </c>
      <c r="P51" s="279"/>
      <c r="R51" s="244"/>
      <c r="S51" s="244"/>
      <c r="T51" s="244"/>
      <c r="U51" s="244"/>
    </row>
    <row r="52" spans="2:21">
      <c r="B52" s="145" t="str">
        <f t="shared" si="6"/>
        <v/>
      </c>
      <c r="C52" s="496">
        <f>IF(D11="","-",+C51+1)</f>
        <v>2045</v>
      </c>
      <c r="D52" s="509">
        <f>IF(F51+SUM(E$17:E51)=D$10,F51,D$10-SUM(E$17:E51))</f>
        <v>76197.889992633805</v>
      </c>
      <c r="E52" s="510">
        <f>IF(+I14&lt;F51,I14,D52)</f>
        <v>28993.451176470586</v>
      </c>
      <c r="F52" s="511">
        <f t="shared" si="16"/>
        <v>47204.438816163223</v>
      </c>
      <c r="G52" s="512">
        <f t="shared" si="14"/>
        <v>35559.513167507517</v>
      </c>
      <c r="H52" s="478">
        <f t="shared" si="15"/>
        <v>35559.513167507517</v>
      </c>
      <c r="I52" s="501">
        <f t="shared" si="17"/>
        <v>0</v>
      </c>
      <c r="J52" s="501"/>
      <c r="K52" s="513"/>
      <c r="L52" s="505">
        <f t="shared" si="18"/>
        <v>0</v>
      </c>
      <c r="M52" s="513"/>
      <c r="N52" s="505">
        <f t="shared" si="19"/>
        <v>0</v>
      </c>
      <c r="O52" s="505">
        <f t="shared" si="20"/>
        <v>0</v>
      </c>
      <c r="P52" s="279"/>
      <c r="R52" s="244"/>
      <c r="S52" s="244"/>
      <c r="T52" s="244"/>
      <c r="U52" s="244"/>
    </row>
    <row r="53" spans="2:21">
      <c r="B53" s="145" t="str">
        <f t="shared" si="6"/>
        <v/>
      </c>
      <c r="C53" s="496">
        <f>IF(D11="","-",+C52+1)</f>
        <v>2046</v>
      </c>
      <c r="D53" s="509">
        <f>IF(F52+SUM(E$17:E52)=D$10,F52,D$10-SUM(E$17:E52))</f>
        <v>47204.438816163223</v>
      </c>
      <c r="E53" s="510">
        <f>IF(+I14&lt;F52,I14,D53)</f>
        <v>28993.451176470586</v>
      </c>
      <c r="F53" s="511">
        <f t="shared" si="16"/>
        <v>18210.987639692637</v>
      </c>
      <c r="G53" s="512">
        <f t="shared" si="14"/>
        <v>32474.112760619289</v>
      </c>
      <c r="H53" s="478">
        <f t="shared" si="15"/>
        <v>32474.112760619289</v>
      </c>
      <c r="I53" s="501">
        <f t="shared" si="17"/>
        <v>0</v>
      </c>
      <c r="J53" s="501"/>
      <c r="K53" s="513"/>
      <c r="L53" s="505">
        <f t="shared" si="18"/>
        <v>0</v>
      </c>
      <c r="M53" s="513"/>
      <c r="N53" s="505">
        <f t="shared" si="19"/>
        <v>0</v>
      </c>
      <c r="O53" s="505">
        <f t="shared" si="20"/>
        <v>0</v>
      </c>
      <c r="P53" s="279"/>
      <c r="R53" s="244"/>
      <c r="S53" s="244"/>
      <c r="T53" s="244"/>
      <c r="U53" s="244"/>
    </row>
    <row r="54" spans="2:21">
      <c r="B54" s="145" t="str">
        <f t="shared" si="6"/>
        <v/>
      </c>
      <c r="C54" s="496">
        <f>IF(D11="","-",+C53+1)</f>
        <v>2047</v>
      </c>
      <c r="D54" s="509">
        <f>IF(F53+SUM(E$17:E53)=D$10,F53,D$10-SUM(E$17:E53))</f>
        <v>18210.987639692637</v>
      </c>
      <c r="E54" s="510">
        <f>IF(+I14&lt;F53,I14,D54)</f>
        <v>18210.987639692637</v>
      </c>
      <c r="F54" s="511">
        <f t="shared" si="16"/>
        <v>0</v>
      </c>
      <c r="G54" s="512">
        <f t="shared" si="14"/>
        <v>19179.968330044932</v>
      </c>
      <c r="H54" s="478">
        <f t="shared" si="15"/>
        <v>19179.968330044932</v>
      </c>
      <c r="I54" s="501">
        <f t="shared" si="17"/>
        <v>0</v>
      </c>
      <c r="J54" s="501"/>
      <c r="K54" s="513"/>
      <c r="L54" s="505">
        <f t="shared" si="18"/>
        <v>0</v>
      </c>
      <c r="M54" s="513"/>
      <c r="N54" s="505">
        <f t="shared" si="19"/>
        <v>0</v>
      </c>
      <c r="O54" s="505">
        <f t="shared" si="20"/>
        <v>0</v>
      </c>
      <c r="P54" s="279"/>
      <c r="R54" s="244"/>
      <c r="S54" s="244"/>
      <c r="T54" s="244"/>
      <c r="U54" s="244"/>
    </row>
    <row r="55" spans="2:21">
      <c r="B55" s="145" t="str">
        <f t="shared" si="6"/>
        <v/>
      </c>
      <c r="C55" s="496">
        <f>IF(D11="","-",+C54+1)</f>
        <v>2048</v>
      </c>
      <c r="D55" s="509">
        <f>IF(F54+SUM(E$17:E54)=D$10,F54,D$10-SUM(E$17:E54))</f>
        <v>0</v>
      </c>
      <c r="E55" s="510">
        <f>IF(+I14&lt;F54,I14,D55)</f>
        <v>0</v>
      </c>
      <c r="F55" s="511">
        <f t="shared" si="16"/>
        <v>0</v>
      </c>
      <c r="G55" s="512">
        <f t="shared" si="14"/>
        <v>0</v>
      </c>
      <c r="H55" s="478">
        <f t="shared" si="15"/>
        <v>0</v>
      </c>
      <c r="I55" s="501">
        <f t="shared" si="17"/>
        <v>0</v>
      </c>
      <c r="J55" s="501"/>
      <c r="K55" s="513"/>
      <c r="L55" s="505">
        <f t="shared" si="18"/>
        <v>0</v>
      </c>
      <c r="M55" s="513"/>
      <c r="N55" s="505">
        <f t="shared" si="19"/>
        <v>0</v>
      </c>
      <c r="O55" s="505">
        <f t="shared" si="20"/>
        <v>0</v>
      </c>
      <c r="P55" s="279"/>
      <c r="R55" s="244"/>
      <c r="S55" s="244"/>
      <c r="T55" s="244"/>
      <c r="U55" s="244"/>
    </row>
    <row r="56" spans="2:21">
      <c r="B56" s="145" t="str">
        <f t="shared" si="6"/>
        <v/>
      </c>
      <c r="C56" s="496">
        <f>IF(D11="","-",+C55+1)</f>
        <v>2049</v>
      </c>
      <c r="D56" s="509">
        <f>IF(F55+SUM(E$17:E55)=D$10,F55,D$10-SUM(E$17:E55))</f>
        <v>0</v>
      </c>
      <c r="E56" s="510">
        <f>IF(+I14&lt;F55,I14,D56)</f>
        <v>0</v>
      </c>
      <c r="F56" s="511">
        <f t="shared" si="16"/>
        <v>0</v>
      </c>
      <c r="G56" s="512">
        <f t="shared" si="14"/>
        <v>0</v>
      </c>
      <c r="H56" s="478">
        <f t="shared" si="15"/>
        <v>0</v>
      </c>
      <c r="I56" s="501">
        <f t="shared" si="17"/>
        <v>0</v>
      </c>
      <c r="J56" s="501"/>
      <c r="K56" s="513"/>
      <c r="L56" s="505">
        <f t="shared" si="18"/>
        <v>0</v>
      </c>
      <c r="M56" s="513"/>
      <c r="N56" s="505">
        <f t="shared" si="19"/>
        <v>0</v>
      </c>
      <c r="O56" s="505">
        <f t="shared" si="20"/>
        <v>0</v>
      </c>
      <c r="P56" s="279"/>
      <c r="R56" s="244"/>
      <c r="S56" s="244"/>
      <c r="T56" s="244"/>
      <c r="U56" s="244"/>
    </row>
    <row r="57" spans="2:21">
      <c r="B57" s="145" t="str">
        <f t="shared" si="6"/>
        <v/>
      </c>
      <c r="C57" s="496">
        <f>IF(D11="","-",+C56+1)</f>
        <v>2050</v>
      </c>
      <c r="D57" s="509">
        <f>IF(F56+SUM(E$17:E56)=D$10,F56,D$10-SUM(E$17:E56))</f>
        <v>0</v>
      </c>
      <c r="E57" s="510">
        <f>IF(+I14&lt;F56,I14,D57)</f>
        <v>0</v>
      </c>
      <c r="F57" s="511">
        <f t="shared" si="16"/>
        <v>0</v>
      </c>
      <c r="G57" s="512">
        <f t="shared" si="14"/>
        <v>0</v>
      </c>
      <c r="H57" s="478">
        <f t="shared" si="15"/>
        <v>0</v>
      </c>
      <c r="I57" s="501">
        <f t="shared" si="17"/>
        <v>0</v>
      </c>
      <c r="J57" s="501"/>
      <c r="K57" s="513"/>
      <c r="L57" s="505">
        <f t="shared" si="18"/>
        <v>0</v>
      </c>
      <c r="M57" s="513"/>
      <c r="N57" s="505">
        <f t="shared" si="19"/>
        <v>0</v>
      </c>
      <c r="O57" s="505">
        <f t="shared" si="20"/>
        <v>0</v>
      </c>
      <c r="P57" s="279"/>
      <c r="R57" s="244"/>
      <c r="S57" s="244"/>
      <c r="T57" s="244"/>
      <c r="U57" s="244"/>
    </row>
    <row r="58" spans="2:21">
      <c r="B58" s="145" t="str">
        <f t="shared" si="6"/>
        <v/>
      </c>
      <c r="C58" s="496">
        <f>IF(D11="","-",+C57+1)</f>
        <v>2051</v>
      </c>
      <c r="D58" s="509">
        <f>IF(F57+SUM(E$17:E57)=D$10,F57,D$10-SUM(E$17:E57))</f>
        <v>0</v>
      </c>
      <c r="E58" s="510">
        <f>IF(+I14&lt;F57,I14,D58)</f>
        <v>0</v>
      </c>
      <c r="F58" s="511">
        <f t="shared" si="16"/>
        <v>0</v>
      </c>
      <c r="G58" s="512">
        <f t="shared" si="14"/>
        <v>0</v>
      </c>
      <c r="H58" s="478">
        <f t="shared" si="15"/>
        <v>0</v>
      </c>
      <c r="I58" s="501">
        <f t="shared" si="17"/>
        <v>0</v>
      </c>
      <c r="J58" s="501"/>
      <c r="K58" s="513"/>
      <c r="L58" s="505">
        <f t="shared" si="18"/>
        <v>0</v>
      </c>
      <c r="M58" s="513"/>
      <c r="N58" s="505">
        <f t="shared" si="19"/>
        <v>0</v>
      </c>
      <c r="O58" s="505">
        <f t="shared" si="20"/>
        <v>0</v>
      </c>
      <c r="P58" s="279"/>
      <c r="R58" s="244"/>
      <c r="S58" s="244"/>
      <c r="T58" s="244"/>
      <c r="U58" s="244"/>
    </row>
    <row r="59" spans="2:21">
      <c r="B59" s="145" t="str">
        <f t="shared" si="6"/>
        <v/>
      </c>
      <c r="C59" s="496">
        <f>IF(D11="","-",+C58+1)</f>
        <v>2052</v>
      </c>
      <c r="D59" s="509">
        <f>IF(F58+SUM(E$17:E58)=D$10,F58,D$10-SUM(E$17:E58))</f>
        <v>0</v>
      </c>
      <c r="E59" s="510">
        <f>IF(+I14&lt;F58,I14,D59)</f>
        <v>0</v>
      </c>
      <c r="F59" s="511">
        <f t="shared" si="16"/>
        <v>0</v>
      </c>
      <c r="G59" s="512">
        <f t="shared" si="14"/>
        <v>0</v>
      </c>
      <c r="H59" s="478">
        <f t="shared" si="15"/>
        <v>0</v>
      </c>
      <c r="I59" s="501">
        <f t="shared" si="17"/>
        <v>0</v>
      </c>
      <c r="J59" s="501"/>
      <c r="K59" s="513"/>
      <c r="L59" s="505">
        <f t="shared" si="18"/>
        <v>0</v>
      </c>
      <c r="M59" s="513"/>
      <c r="N59" s="505">
        <f t="shared" si="19"/>
        <v>0</v>
      </c>
      <c r="O59" s="505">
        <f t="shared" si="20"/>
        <v>0</v>
      </c>
      <c r="P59" s="279"/>
      <c r="R59" s="244"/>
      <c r="S59" s="244"/>
      <c r="T59" s="244"/>
      <c r="U59" s="244"/>
    </row>
    <row r="60" spans="2:21">
      <c r="B60" s="145" t="str">
        <f t="shared" si="6"/>
        <v/>
      </c>
      <c r="C60" s="496">
        <f>IF(D11="","-",+C59+1)</f>
        <v>2053</v>
      </c>
      <c r="D60" s="509">
        <f>IF(F59+SUM(E$17:E59)=D$10,F59,D$10-SUM(E$17:E59))</f>
        <v>0</v>
      </c>
      <c r="E60" s="510">
        <f>IF(+I14&lt;F59,I14,D60)</f>
        <v>0</v>
      </c>
      <c r="F60" s="511">
        <f t="shared" si="16"/>
        <v>0</v>
      </c>
      <c r="G60" s="512">
        <f t="shared" si="14"/>
        <v>0</v>
      </c>
      <c r="H60" s="478">
        <f t="shared" si="15"/>
        <v>0</v>
      </c>
      <c r="I60" s="501">
        <f t="shared" si="17"/>
        <v>0</v>
      </c>
      <c r="J60" s="501"/>
      <c r="K60" s="513"/>
      <c r="L60" s="505">
        <f t="shared" si="18"/>
        <v>0</v>
      </c>
      <c r="M60" s="513"/>
      <c r="N60" s="505">
        <f t="shared" si="19"/>
        <v>0</v>
      </c>
      <c r="O60" s="505">
        <f t="shared" si="20"/>
        <v>0</v>
      </c>
      <c r="P60" s="279"/>
      <c r="R60" s="244"/>
      <c r="S60" s="244"/>
      <c r="T60" s="244"/>
      <c r="U60" s="244"/>
    </row>
    <row r="61" spans="2:21">
      <c r="B61" s="145" t="str">
        <f t="shared" si="6"/>
        <v/>
      </c>
      <c r="C61" s="496">
        <f>IF(D11="","-",+C60+1)</f>
        <v>2054</v>
      </c>
      <c r="D61" s="509">
        <f>IF(F60+SUM(E$17:E60)=D$10,F60,D$10-SUM(E$17:E60))</f>
        <v>0</v>
      </c>
      <c r="E61" s="510">
        <f>IF(+I14&lt;F60,I14,D61)</f>
        <v>0</v>
      </c>
      <c r="F61" s="511">
        <f t="shared" si="16"/>
        <v>0</v>
      </c>
      <c r="G61" s="512">
        <f t="shared" si="14"/>
        <v>0</v>
      </c>
      <c r="H61" s="478">
        <f t="shared" si="15"/>
        <v>0</v>
      </c>
      <c r="I61" s="501">
        <f t="shared" si="17"/>
        <v>0</v>
      </c>
      <c r="J61" s="501"/>
      <c r="K61" s="513"/>
      <c r="L61" s="505">
        <f t="shared" si="18"/>
        <v>0</v>
      </c>
      <c r="M61" s="513"/>
      <c r="N61" s="505">
        <f t="shared" si="19"/>
        <v>0</v>
      </c>
      <c r="O61" s="505">
        <f t="shared" si="20"/>
        <v>0</v>
      </c>
      <c r="P61" s="279"/>
      <c r="R61" s="244"/>
      <c r="S61" s="244"/>
      <c r="T61" s="244"/>
      <c r="U61" s="244"/>
    </row>
    <row r="62" spans="2:21">
      <c r="B62" s="145" t="str">
        <f t="shared" si="6"/>
        <v/>
      </c>
      <c r="C62" s="496">
        <f>IF(D11="","-",+C61+1)</f>
        <v>2055</v>
      </c>
      <c r="D62" s="509">
        <f>IF(F61+SUM(E$17:E61)=D$10,F61,D$10-SUM(E$17:E61))</f>
        <v>0</v>
      </c>
      <c r="E62" s="510">
        <f>IF(+I14&lt;F61,I14,D62)</f>
        <v>0</v>
      </c>
      <c r="F62" s="511">
        <f t="shared" si="16"/>
        <v>0</v>
      </c>
      <c r="G62" s="524">
        <f t="shared" si="14"/>
        <v>0</v>
      </c>
      <c r="H62" s="478">
        <f t="shared" si="15"/>
        <v>0</v>
      </c>
      <c r="I62" s="501">
        <f t="shared" si="17"/>
        <v>0</v>
      </c>
      <c r="J62" s="501"/>
      <c r="K62" s="513"/>
      <c r="L62" s="505">
        <f t="shared" si="18"/>
        <v>0</v>
      </c>
      <c r="M62" s="513"/>
      <c r="N62" s="505">
        <f t="shared" si="19"/>
        <v>0</v>
      </c>
      <c r="O62" s="505">
        <f t="shared" si="20"/>
        <v>0</v>
      </c>
      <c r="P62" s="279"/>
      <c r="R62" s="244"/>
      <c r="S62" s="244"/>
      <c r="T62" s="244"/>
      <c r="U62" s="244"/>
    </row>
    <row r="63" spans="2:21">
      <c r="B63" s="145" t="str">
        <f t="shared" si="6"/>
        <v/>
      </c>
      <c r="C63" s="496">
        <f>IF(D11="","-",+C62+1)</f>
        <v>2056</v>
      </c>
      <c r="D63" s="509">
        <f>IF(F62+SUM(E$17:E62)=D$10,F62,D$10-SUM(E$17:E62))</f>
        <v>0</v>
      </c>
      <c r="E63" s="510">
        <f>IF(+I14&lt;F62,I14,D63)</f>
        <v>0</v>
      </c>
      <c r="F63" s="511">
        <f t="shared" si="16"/>
        <v>0</v>
      </c>
      <c r="G63" s="524">
        <f t="shared" si="14"/>
        <v>0</v>
      </c>
      <c r="H63" s="478">
        <f t="shared" si="15"/>
        <v>0</v>
      </c>
      <c r="I63" s="501">
        <f t="shared" si="17"/>
        <v>0</v>
      </c>
      <c r="J63" s="501"/>
      <c r="K63" s="513"/>
      <c r="L63" s="505">
        <f t="shared" si="18"/>
        <v>0</v>
      </c>
      <c r="M63" s="513"/>
      <c r="N63" s="505">
        <f t="shared" si="19"/>
        <v>0</v>
      </c>
      <c r="O63" s="505">
        <f t="shared" si="20"/>
        <v>0</v>
      </c>
      <c r="P63" s="279"/>
      <c r="R63" s="244"/>
      <c r="S63" s="244"/>
      <c r="T63" s="244"/>
      <c r="U63" s="244"/>
    </row>
    <row r="64" spans="2:21">
      <c r="B64" s="145" t="str">
        <f t="shared" si="6"/>
        <v/>
      </c>
      <c r="C64" s="496">
        <f>IF(D11="","-",+C63+1)</f>
        <v>2057</v>
      </c>
      <c r="D64" s="509">
        <f>IF(F63+SUM(E$17:E63)=D$10,F63,D$10-SUM(E$17:E63))</f>
        <v>0</v>
      </c>
      <c r="E64" s="510">
        <f>IF(+I14&lt;F63,I14,D64)</f>
        <v>0</v>
      </c>
      <c r="F64" s="511">
        <f t="shared" si="16"/>
        <v>0</v>
      </c>
      <c r="G64" s="524">
        <f t="shared" si="14"/>
        <v>0</v>
      </c>
      <c r="H64" s="478">
        <f t="shared" si="15"/>
        <v>0</v>
      </c>
      <c r="I64" s="501">
        <f t="shared" si="17"/>
        <v>0</v>
      </c>
      <c r="J64" s="501"/>
      <c r="K64" s="513"/>
      <c r="L64" s="505">
        <f t="shared" si="18"/>
        <v>0</v>
      </c>
      <c r="M64" s="513"/>
      <c r="N64" s="505">
        <f t="shared" si="19"/>
        <v>0</v>
      </c>
      <c r="O64" s="505">
        <f t="shared" si="20"/>
        <v>0</v>
      </c>
      <c r="P64" s="279"/>
      <c r="R64" s="244"/>
      <c r="S64" s="244"/>
      <c r="T64" s="244"/>
      <c r="U64" s="244"/>
    </row>
    <row r="65" spans="2:21">
      <c r="B65" s="145" t="str">
        <f t="shared" si="6"/>
        <v/>
      </c>
      <c r="C65" s="496">
        <f>IF(D11="","-",+C64+1)</f>
        <v>2058</v>
      </c>
      <c r="D65" s="509">
        <f>IF(F64+SUM(E$17:E64)=D$10,F64,D$10-SUM(E$17:E64))</f>
        <v>0</v>
      </c>
      <c r="E65" s="510">
        <f>IF(+I14&lt;F64,I14,D65)</f>
        <v>0</v>
      </c>
      <c r="F65" s="511">
        <f t="shared" si="16"/>
        <v>0</v>
      </c>
      <c r="G65" s="524">
        <f t="shared" si="14"/>
        <v>0</v>
      </c>
      <c r="H65" s="478">
        <f t="shared" si="15"/>
        <v>0</v>
      </c>
      <c r="I65" s="501">
        <f t="shared" si="17"/>
        <v>0</v>
      </c>
      <c r="J65" s="501"/>
      <c r="K65" s="513"/>
      <c r="L65" s="505">
        <f t="shared" si="18"/>
        <v>0</v>
      </c>
      <c r="M65" s="513"/>
      <c r="N65" s="505">
        <f t="shared" si="19"/>
        <v>0</v>
      </c>
      <c r="O65" s="505">
        <f t="shared" si="20"/>
        <v>0</v>
      </c>
      <c r="P65" s="279"/>
      <c r="R65" s="244"/>
      <c r="S65" s="244"/>
      <c r="T65" s="244"/>
      <c r="U65" s="244"/>
    </row>
    <row r="66" spans="2:21">
      <c r="B66" s="145" t="str">
        <f t="shared" si="6"/>
        <v/>
      </c>
      <c r="C66" s="496">
        <f>IF(D11="","-",+C65+1)</f>
        <v>2059</v>
      </c>
      <c r="D66" s="509">
        <f>IF(F65+SUM(E$17:E65)=D$10,F65,D$10-SUM(E$17:E65))</f>
        <v>0</v>
      </c>
      <c r="E66" s="510">
        <f>IF(+I14&lt;F65,I14,D66)</f>
        <v>0</v>
      </c>
      <c r="F66" s="511">
        <f t="shared" si="16"/>
        <v>0</v>
      </c>
      <c r="G66" s="524">
        <f t="shared" si="14"/>
        <v>0</v>
      </c>
      <c r="H66" s="478">
        <f t="shared" si="15"/>
        <v>0</v>
      </c>
      <c r="I66" s="501">
        <f t="shared" si="17"/>
        <v>0</v>
      </c>
      <c r="J66" s="501"/>
      <c r="K66" s="513"/>
      <c r="L66" s="505">
        <f t="shared" si="18"/>
        <v>0</v>
      </c>
      <c r="M66" s="513"/>
      <c r="N66" s="505">
        <f t="shared" si="19"/>
        <v>0</v>
      </c>
      <c r="O66" s="505">
        <f t="shared" si="20"/>
        <v>0</v>
      </c>
      <c r="P66" s="279"/>
      <c r="R66" s="244"/>
      <c r="S66" s="244"/>
      <c r="T66" s="244"/>
      <c r="U66" s="244"/>
    </row>
    <row r="67" spans="2:21">
      <c r="B67" s="145" t="str">
        <f t="shared" si="6"/>
        <v/>
      </c>
      <c r="C67" s="496">
        <f>IF(D11="","-",+C66+1)</f>
        <v>2060</v>
      </c>
      <c r="D67" s="509">
        <f>IF(F66+SUM(E$17:E66)=D$10,F66,D$10-SUM(E$17:E66))</f>
        <v>0</v>
      </c>
      <c r="E67" s="510">
        <f>IF(+I14&lt;F66,I14,D67)</f>
        <v>0</v>
      </c>
      <c r="F67" s="511">
        <f t="shared" si="16"/>
        <v>0</v>
      </c>
      <c r="G67" s="524">
        <f t="shared" si="14"/>
        <v>0</v>
      </c>
      <c r="H67" s="478">
        <f t="shared" si="15"/>
        <v>0</v>
      </c>
      <c r="I67" s="501">
        <f t="shared" si="17"/>
        <v>0</v>
      </c>
      <c r="J67" s="501"/>
      <c r="K67" s="513"/>
      <c r="L67" s="505">
        <f t="shared" si="18"/>
        <v>0</v>
      </c>
      <c r="M67" s="513"/>
      <c r="N67" s="505">
        <f t="shared" si="19"/>
        <v>0</v>
      </c>
      <c r="O67" s="505">
        <f t="shared" si="20"/>
        <v>0</v>
      </c>
      <c r="P67" s="279"/>
      <c r="R67" s="244"/>
      <c r="S67" s="244"/>
      <c r="T67" s="244"/>
      <c r="U67" s="244"/>
    </row>
    <row r="68" spans="2:21">
      <c r="B68" s="145" t="str">
        <f t="shared" si="6"/>
        <v/>
      </c>
      <c r="C68" s="496">
        <f>IF(D11="","-",+C67+1)</f>
        <v>2061</v>
      </c>
      <c r="D68" s="509">
        <f>IF(F67+SUM(E$17:E67)=D$10,F67,D$10-SUM(E$17:E67))</f>
        <v>0</v>
      </c>
      <c r="E68" s="510">
        <f>IF(+I14&lt;F67,I14,D68)</f>
        <v>0</v>
      </c>
      <c r="F68" s="511">
        <f t="shared" si="16"/>
        <v>0</v>
      </c>
      <c r="G68" s="524">
        <f t="shared" si="14"/>
        <v>0</v>
      </c>
      <c r="H68" s="478">
        <f t="shared" si="15"/>
        <v>0</v>
      </c>
      <c r="I68" s="501">
        <f t="shared" si="17"/>
        <v>0</v>
      </c>
      <c r="J68" s="501"/>
      <c r="K68" s="513"/>
      <c r="L68" s="505">
        <f t="shared" si="18"/>
        <v>0</v>
      </c>
      <c r="M68" s="513"/>
      <c r="N68" s="505">
        <f t="shared" si="19"/>
        <v>0</v>
      </c>
      <c r="O68" s="505">
        <f t="shared" si="20"/>
        <v>0</v>
      </c>
      <c r="P68" s="279"/>
      <c r="R68" s="244"/>
      <c r="S68" s="244"/>
      <c r="T68" s="244"/>
      <c r="U68" s="244"/>
    </row>
    <row r="69" spans="2:21">
      <c r="B69" s="145" t="str">
        <f t="shared" si="6"/>
        <v/>
      </c>
      <c r="C69" s="496">
        <f>IF(D11="","-",+C68+1)</f>
        <v>2062</v>
      </c>
      <c r="D69" s="509">
        <f>IF(F68+SUM(E$17:E68)=D$10,F68,D$10-SUM(E$17:E68))</f>
        <v>0</v>
      </c>
      <c r="E69" s="510">
        <f>IF(+I14&lt;F68,I14,D69)</f>
        <v>0</v>
      </c>
      <c r="F69" s="511">
        <f t="shared" si="16"/>
        <v>0</v>
      </c>
      <c r="G69" s="524">
        <f t="shared" si="14"/>
        <v>0</v>
      </c>
      <c r="H69" s="478">
        <f t="shared" si="15"/>
        <v>0</v>
      </c>
      <c r="I69" s="501">
        <f t="shared" si="17"/>
        <v>0</v>
      </c>
      <c r="J69" s="501"/>
      <c r="K69" s="513"/>
      <c r="L69" s="505">
        <f t="shared" si="18"/>
        <v>0</v>
      </c>
      <c r="M69" s="513"/>
      <c r="N69" s="505">
        <f t="shared" si="19"/>
        <v>0</v>
      </c>
      <c r="O69" s="505">
        <f t="shared" si="20"/>
        <v>0</v>
      </c>
      <c r="P69" s="279"/>
      <c r="R69" s="244"/>
      <c r="S69" s="244"/>
      <c r="T69" s="244"/>
      <c r="U69" s="244"/>
    </row>
    <row r="70" spans="2:21">
      <c r="B70" s="145" t="str">
        <f t="shared" si="6"/>
        <v/>
      </c>
      <c r="C70" s="496">
        <f>IF(D11="","-",+C69+1)</f>
        <v>2063</v>
      </c>
      <c r="D70" s="509">
        <f>IF(F69+SUM(E$17:E69)=D$10,F69,D$10-SUM(E$17:E69))</f>
        <v>0</v>
      </c>
      <c r="E70" s="510">
        <f>IF(+I14&lt;F69,I14,D70)</f>
        <v>0</v>
      </c>
      <c r="F70" s="511">
        <f t="shared" si="16"/>
        <v>0</v>
      </c>
      <c r="G70" s="524">
        <f t="shared" si="14"/>
        <v>0</v>
      </c>
      <c r="H70" s="478">
        <f t="shared" si="15"/>
        <v>0</v>
      </c>
      <c r="I70" s="501">
        <f t="shared" si="17"/>
        <v>0</v>
      </c>
      <c r="J70" s="501"/>
      <c r="K70" s="513"/>
      <c r="L70" s="505">
        <f t="shared" si="18"/>
        <v>0</v>
      </c>
      <c r="M70" s="513"/>
      <c r="N70" s="505">
        <f t="shared" si="19"/>
        <v>0</v>
      </c>
      <c r="O70" s="505">
        <f t="shared" si="20"/>
        <v>0</v>
      </c>
      <c r="P70" s="279"/>
      <c r="R70" s="244"/>
      <c r="S70" s="244"/>
      <c r="T70" s="244"/>
      <c r="U70" s="244"/>
    </row>
    <row r="71" spans="2:21">
      <c r="B71" s="145" t="str">
        <f t="shared" si="6"/>
        <v/>
      </c>
      <c r="C71" s="496">
        <f>IF(D11="","-",+C70+1)</f>
        <v>2064</v>
      </c>
      <c r="D71" s="509">
        <f>IF(F70+SUM(E$17:E70)=D$10,F70,D$10-SUM(E$17:E70))</f>
        <v>0</v>
      </c>
      <c r="E71" s="510">
        <f>IF(+I14&lt;F70,I14,D71)</f>
        <v>0</v>
      </c>
      <c r="F71" s="511">
        <f t="shared" si="16"/>
        <v>0</v>
      </c>
      <c r="G71" s="524">
        <f t="shared" si="14"/>
        <v>0</v>
      </c>
      <c r="H71" s="478">
        <f t="shared" si="15"/>
        <v>0</v>
      </c>
      <c r="I71" s="501">
        <f t="shared" si="17"/>
        <v>0</v>
      </c>
      <c r="J71" s="501"/>
      <c r="K71" s="513"/>
      <c r="L71" s="505">
        <f t="shared" si="18"/>
        <v>0</v>
      </c>
      <c r="M71" s="513"/>
      <c r="N71" s="505">
        <f t="shared" si="19"/>
        <v>0</v>
      </c>
      <c r="O71" s="505">
        <f t="shared" si="20"/>
        <v>0</v>
      </c>
      <c r="P71" s="279"/>
      <c r="R71" s="244"/>
      <c r="S71" s="244"/>
      <c r="T71" s="244"/>
      <c r="U71" s="244"/>
    </row>
    <row r="72" spans="2:21">
      <c r="B72" s="145" t="str">
        <f t="shared" si="6"/>
        <v/>
      </c>
      <c r="C72" s="496">
        <f>IF(D11="","-",+C71+1)</f>
        <v>2065</v>
      </c>
      <c r="D72" s="509">
        <f>IF(F71+SUM(E$17:E71)=D$10,F71,D$10-SUM(E$17:E71))</f>
        <v>0</v>
      </c>
      <c r="E72" s="510">
        <f>IF(+I14&lt;F71,I14,D72)</f>
        <v>0</v>
      </c>
      <c r="F72" s="511">
        <f t="shared" si="16"/>
        <v>0</v>
      </c>
      <c r="G72" s="524">
        <f t="shared" si="14"/>
        <v>0</v>
      </c>
      <c r="H72" s="478">
        <f t="shared" si="15"/>
        <v>0</v>
      </c>
      <c r="I72" s="501">
        <f t="shared" si="17"/>
        <v>0</v>
      </c>
      <c r="J72" s="501"/>
      <c r="K72" s="513"/>
      <c r="L72" s="505">
        <f t="shared" si="18"/>
        <v>0</v>
      </c>
      <c r="M72" s="513"/>
      <c r="N72" s="505">
        <f t="shared" si="19"/>
        <v>0</v>
      </c>
      <c r="O72" s="505">
        <f t="shared" si="20"/>
        <v>0</v>
      </c>
      <c r="P72" s="279"/>
      <c r="R72" s="244"/>
      <c r="S72" s="244"/>
      <c r="T72" s="244"/>
      <c r="U72" s="244"/>
    </row>
    <row r="73" spans="2:21" ht="13.5" thickBot="1">
      <c r="B73" s="145" t="str">
        <f t="shared" si="6"/>
        <v/>
      </c>
      <c r="C73" s="525">
        <f>IF(D11="","-",+C72+1)</f>
        <v>2066</v>
      </c>
      <c r="D73" s="526">
        <f>IF(F72+SUM(E$17:E72)=D$10,F72,D$10-SUM(E$17:E72))</f>
        <v>0</v>
      </c>
      <c r="E73" s="527">
        <f>IF(+I14&lt;F72,I14,D73)</f>
        <v>0</v>
      </c>
      <c r="F73" s="528">
        <f t="shared" si="16"/>
        <v>0</v>
      </c>
      <c r="G73" s="529">
        <f t="shared" si="14"/>
        <v>0</v>
      </c>
      <c r="H73" s="459">
        <f t="shared" si="15"/>
        <v>0</v>
      </c>
      <c r="I73" s="530">
        <f t="shared" si="17"/>
        <v>0</v>
      </c>
      <c r="J73" s="501"/>
      <c r="K73" s="531"/>
      <c r="L73" s="532">
        <f t="shared" si="18"/>
        <v>0</v>
      </c>
      <c r="M73" s="531"/>
      <c r="N73" s="532">
        <f t="shared" si="19"/>
        <v>0</v>
      </c>
      <c r="O73" s="532">
        <f t="shared" si="20"/>
        <v>0</v>
      </c>
      <c r="P73" s="279"/>
      <c r="R73" s="244"/>
      <c r="S73" s="244"/>
      <c r="T73" s="244"/>
      <c r="U73" s="244"/>
    </row>
    <row r="74" spans="2:21">
      <c r="C74" s="350" t="s">
        <v>75</v>
      </c>
      <c r="D74" s="295"/>
      <c r="E74" s="295">
        <f>SUM(E17:E73)</f>
        <v>985777.34000000008</v>
      </c>
      <c r="F74" s="295"/>
      <c r="G74" s="295">
        <f>SUM(G17:G73)</f>
        <v>3179117.9492386593</v>
      </c>
      <c r="H74" s="295">
        <f>SUM(H17:H73)</f>
        <v>3179117.9492386593</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2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113358.4397541738</v>
      </c>
      <c r="N88" s="545">
        <f>IF(J93&lt;D11,0,VLOOKUP(J93,C17:O73,11))</f>
        <v>113358.4397541738</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126148.58717460747</v>
      </c>
      <c r="N89" s="549">
        <f>IF(J93&lt;D11,0,VLOOKUP(J93,C100:P155,7))</f>
        <v>126148.58717460747</v>
      </c>
      <c r="O89" s="550">
        <f>+N89-M89</f>
        <v>0</v>
      </c>
      <c r="P89" s="244"/>
      <c r="Q89" s="244"/>
      <c r="R89" s="244"/>
      <c r="S89" s="244"/>
      <c r="T89" s="244"/>
      <c r="U89" s="244"/>
    </row>
    <row r="90" spans="1:21" ht="13.5" thickBot="1">
      <c r="C90" s="455" t="s">
        <v>82</v>
      </c>
      <c r="D90" s="551" t="str">
        <f>+D7</f>
        <v>Coffeyville T to Dearing 138 kV Rebuild - 1.1 miles</v>
      </c>
      <c r="E90" s="244"/>
      <c r="F90" s="244"/>
      <c r="G90" s="244"/>
      <c r="H90" s="244"/>
      <c r="I90" s="326"/>
      <c r="J90" s="326"/>
      <c r="K90" s="552"/>
      <c r="L90" s="553" t="s">
        <v>135</v>
      </c>
      <c r="M90" s="554">
        <f>+M89-M88</f>
        <v>12790.14742043367</v>
      </c>
      <c r="N90" s="554">
        <f>+N89-N88</f>
        <v>12790.14742043367</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TP2008013</v>
      </c>
      <c r="E92" s="559"/>
      <c r="F92" s="559"/>
      <c r="G92" s="559"/>
      <c r="H92" s="559"/>
      <c r="I92" s="559"/>
      <c r="J92" s="559"/>
      <c r="K92" s="561"/>
      <c r="P92" s="469"/>
      <c r="Q92" s="244"/>
      <c r="R92" s="244"/>
      <c r="S92" s="244"/>
      <c r="T92" s="244"/>
      <c r="U92" s="244"/>
    </row>
    <row r="93" spans="1:21">
      <c r="C93" s="473" t="s">
        <v>49</v>
      </c>
      <c r="D93" s="471">
        <f>IF(D11=I10,0,D10)</f>
        <v>985777.34</v>
      </c>
      <c r="E93" s="249" t="s">
        <v>84</v>
      </c>
      <c r="H93" s="409"/>
      <c r="I93" s="409"/>
      <c r="J93" s="472">
        <f>+'OKT.WS.G.BPU.ATRR.True-up'!M16</f>
        <v>2021</v>
      </c>
      <c r="K93" s="468"/>
      <c r="L93" s="295" t="s">
        <v>85</v>
      </c>
      <c r="P93" s="279"/>
      <c r="Q93" s="244"/>
      <c r="R93" s="244"/>
      <c r="S93" s="244"/>
      <c r="T93" s="244"/>
      <c r="U93" s="244"/>
    </row>
    <row r="94" spans="1:21">
      <c r="C94" s="473" t="s">
        <v>52</v>
      </c>
      <c r="D94" s="562">
        <f>IF(D11=I10,"",D11)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83">
        <f>IF(D11=I10,"",D12)</f>
        <v>6</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39431.0936</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55" si="21">IF(D100=F99,"","IU")</f>
        <v>IU</v>
      </c>
      <c r="C100" s="496">
        <f>IF(D94= "","-",D94)</f>
        <v>2010</v>
      </c>
      <c r="D100" s="497">
        <v>0</v>
      </c>
      <c r="E100" s="499">
        <v>8464.310344827587</v>
      </c>
      <c r="F100" s="506">
        <v>973395.68965517241</v>
      </c>
      <c r="G100" s="572">
        <v>486697.8448275862</v>
      </c>
      <c r="H100" s="572">
        <v>173914.12278230567</v>
      </c>
      <c r="I100" s="572">
        <v>173914.12278230567</v>
      </c>
      <c r="J100" s="505">
        <f t="shared" ref="J100:J131" si="22">+I100-H100</f>
        <v>0</v>
      </c>
      <c r="K100" s="505"/>
      <c r="L100" s="507">
        <f t="shared" ref="L100:L105" si="23">H100</f>
        <v>173914.12278230567</v>
      </c>
      <c r="M100" s="508">
        <f>IF(L100&lt;&gt;0,+H100-L100,0)</f>
        <v>0</v>
      </c>
      <c r="N100" s="507">
        <f t="shared" ref="N100:N105" si="24">I100</f>
        <v>173914.12278230567</v>
      </c>
      <c r="O100" s="504">
        <f t="shared" ref="O100:O131" si="25">IF(N100&lt;&gt;0,+I100-N100,0)</f>
        <v>0</v>
      </c>
      <c r="P100" s="504">
        <f t="shared" ref="P100:P131" si="26">+O100-M100</f>
        <v>0</v>
      </c>
      <c r="Q100" s="244"/>
      <c r="R100" s="244"/>
      <c r="S100" s="244"/>
      <c r="T100" s="244"/>
      <c r="U100" s="244"/>
    </row>
    <row r="101" spans="1:21">
      <c r="B101" s="145" t="str">
        <f t="shared" si="21"/>
        <v/>
      </c>
      <c r="C101" s="496">
        <f>IF(D94="","-",+C100+1)</f>
        <v>2011</v>
      </c>
      <c r="D101" s="497">
        <v>973395.68965517241</v>
      </c>
      <c r="E101" s="499">
        <v>16996.161034482757</v>
      </c>
      <c r="F101" s="506">
        <v>956399.52862068964</v>
      </c>
      <c r="G101" s="506">
        <v>964897.60913793102</v>
      </c>
      <c r="H101" s="499">
        <v>88738.637904978968</v>
      </c>
      <c r="I101" s="500">
        <v>88738.637904978968</v>
      </c>
      <c r="J101" s="505">
        <v>0</v>
      </c>
      <c r="K101" s="505"/>
      <c r="L101" s="507">
        <f t="shared" si="23"/>
        <v>88738.637904978968</v>
      </c>
      <c r="M101" s="505">
        <f t="shared" ref="M101:M131" si="27">IF(L101&lt;&gt;0,+H101-L101,0)</f>
        <v>0</v>
      </c>
      <c r="N101" s="507">
        <f t="shared" si="24"/>
        <v>88738.637904978968</v>
      </c>
      <c r="O101" s="505">
        <f t="shared" si="25"/>
        <v>0</v>
      </c>
      <c r="P101" s="505">
        <f t="shared" si="26"/>
        <v>0</v>
      </c>
      <c r="Q101" s="244"/>
      <c r="R101" s="244"/>
      <c r="S101" s="244"/>
      <c r="T101" s="244"/>
      <c r="U101" s="244"/>
    </row>
    <row r="102" spans="1:21">
      <c r="B102" s="145" t="str">
        <f t="shared" si="21"/>
        <v>IU</v>
      </c>
      <c r="C102" s="496">
        <f>IF(D94="","-",+C101+1)</f>
        <v>2012</v>
      </c>
      <c r="D102" s="497">
        <v>960316.86862068961</v>
      </c>
      <c r="E102" s="499">
        <v>16996.161034482757</v>
      </c>
      <c r="F102" s="506">
        <v>943320.70758620685</v>
      </c>
      <c r="G102" s="506">
        <v>951818.78810344823</v>
      </c>
      <c r="H102" s="499">
        <v>113462.4664066085</v>
      </c>
      <c r="I102" s="500">
        <v>113462.4664066085</v>
      </c>
      <c r="J102" s="505">
        <v>0</v>
      </c>
      <c r="K102" s="505"/>
      <c r="L102" s="507">
        <f t="shared" si="23"/>
        <v>113462.4664066085</v>
      </c>
      <c r="M102" s="505">
        <f t="shared" ref="M102:M107" si="28">IF(L102&lt;&gt;0,+H102-L102,0)</f>
        <v>0</v>
      </c>
      <c r="N102" s="507">
        <f t="shared" si="24"/>
        <v>113462.4664066085</v>
      </c>
      <c r="O102" s="505">
        <f>IF(N102&lt;&gt;0,+I102-N102,0)</f>
        <v>0</v>
      </c>
      <c r="P102" s="505">
        <f>+O102-M102</f>
        <v>0</v>
      </c>
      <c r="Q102" s="244"/>
      <c r="R102" s="244"/>
      <c r="S102" s="244"/>
      <c r="T102" s="244"/>
      <c r="U102" s="244"/>
    </row>
    <row r="103" spans="1:21">
      <c r="B103" s="145" t="str">
        <f t="shared" si="21"/>
        <v/>
      </c>
      <c r="C103" s="496">
        <f>IF(D94="","-",+C102+1)</f>
        <v>2013</v>
      </c>
      <c r="D103" s="497">
        <v>943320.70758620685</v>
      </c>
      <c r="E103" s="499">
        <v>16996.161034482757</v>
      </c>
      <c r="F103" s="506">
        <v>926324.54655172408</v>
      </c>
      <c r="G103" s="506">
        <v>934822.62706896546</v>
      </c>
      <c r="H103" s="499">
        <v>123248.05893507614</v>
      </c>
      <c r="I103" s="500">
        <v>123248.05893507614</v>
      </c>
      <c r="J103" s="505">
        <v>0</v>
      </c>
      <c r="K103" s="505"/>
      <c r="L103" s="507">
        <f t="shared" si="23"/>
        <v>123248.05893507614</v>
      </c>
      <c r="M103" s="505">
        <f t="shared" si="28"/>
        <v>0</v>
      </c>
      <c r="N103" s="507">
        <f t="shared" si="24"/>
        <v>123248.05893507614</v>
      </c>
      <c r="O103" s="505">
        <f>IF(N103&lt;&gt;0,+I103-N103,0)</f>
        <v>0</v>
      </c>
      <c r="P103" s="505">
        <f>+O103-M103</f>
        <v>0</v>
      </c>
      <c r="Q103" s="244"/>
      <c r="R103" s="244"/>
      <c r="S103" s="244"/>
      <c r="T103" s="244"/>
      <c r="U103" s="244"/>
    </row>
    <row r="104" spans="1:21">
      <c r="B104" s="145" t="str">
        <f t="shared" si="21"/>
        <v/>
      </c>
      <c r="C104" s="496">
        <f>IF(D94="","-",+C103+1)</f>
        <v>2014</v>
      </c>
      <c r="D104" s="497">
        <v>926324.54655172408</v>
      </c>
      <c r="E104" s="499">
        <v>16996.161034482757</v>
      </c>
      <c r="F104" s="506">
        <v>909328.38551724132</v>
      </c>
      <c r="G104" s="506">
        <v>917826.4660344827</v>
      </c>
      <c r="H104" s="499">
        <v>115702.36527195803</v>
      </c>
      <c r="I104" s="500">
        <v>115702.36527195803</v>
      </c>
      <c r="J104" s="505">
        <v>0</v>
      </c>
      <c r="K104" s="505"/>
      <c r="L104" s="507">
        <f t="shared" si="23"/>
        <v>115702.36527195803</v>
      </c>
      <c r="M104" s="505">
        <f t="shared" si="28"/>
        <v>0</v>
      </c>
      <c r="N104" s="507">
        <f t="shared" si="24"/>
        <v>115702.36527195803</v>
      </c>
      <c r="O104" s="505">
        <f>IF(N104&lt;&gt;0,+I104-N104,0)</f>
        <v>0</v>
      </c>
      <c r="P104" s="505">
        <f>+O104-M104</f>
        <v>0</v>
      </c>
      <c r="Q104" s="244"/>
      <c r="R104" s="244"/>
      <c r="S104" s="244"/>
      <c r="T104" s="244"/>
      <c r="U104" s="244"/>
    </row>
    <row r="105" spans="1:21">
      <c r="B105" s="145" t="str">
        <f t="shared" si="21"/>
        <v/>
      </c>
      <c r="C105" s="496">
        <f>IF(D94="","-",+C104+1)</f>
        <v>2015</v>
      </c>
      <c r="D105" s="497">
        <v>909328.38551724132</v>
      </c>
      <c r="E105" s="499">
        <v>20537.027916666666</v>
      </c>
      <c r="F105" s="506">
        <v>888791.35760057461</v>
      </c>
      <c r="G105" s="506">
        <v>899059.87155890791</v>
      </c>
      <c r="H105" s="499">
        <v>120628.84968807173</v>
      </c>
      <c r="I105" s="500">
        <v>120628.84968807173</v>
      </c>
      <c r="J105" s="505">
        <f t="shared" si="22"/>
        <v>0</v>
      </c>
      <c r="K105" s="505"/>
      <c r="L105" s="507">
        <f t="shared" si="23"/>
        <v>120628.84968807173</v>
      </c>
      <c r="M105" s="505">
        <f t="shared" si="28"/>
        <v>0</v>
      </c>
      <c r="N105" s="507">
        <f t="shared" si="24"/>
        <v>120628.84968807173</v>
      </c>
      <c r="O105" s="505">
        <f t="shared" si="25"/>
        <v>0</v>
      </c>
      <c r="P105" s="505">
        <f t="shared" si="26"/>
        <v>0</v>
      </c>
      <c r="Q105" s="244"/>
      <c r="R105" s="244"/>
      <c r="S105" s="244"/>
      <c r="T105" s="244"/>
      <c r="U105" s="244"/>
    </row>
    <row r="106" spans="1:21">
      <c r="B106" s="145" t="str">
        <f t="shared" si="21"/>
        <v/>
      </c>
      <c r="C106" s="496">
        <f>IF(D94="","-",+C105+1)</f>
        <v>2016</v>
      </c>
      <c r="D106" s="497">
        <v>888791.35760057461</v>
      </c>
      <c r="E106" s="499">
        <v>19328.967450980392</v>
      </c>
      <c r="F106" s="506">
        <v>869462.39014959417</v>
      </c>
      <c r="G106" s="506">
        <v>879126.87387508433</v>
      </c>
      <c r="H106" s="499">
        <v>114599.47152988262</v>
      </c>
      <c r="I106" s="500">
        <v>114599.47152988262</v>
      </c>
      <c r="J106" s="505">
        <f t="shared" si="22"/>
        <v>0</v>
      </c>
      <c r="K106" s="505"/>
      <c r="L106" s="507">
        <f>H106</f>
        <v>114599.47152988262</v>
      </c>
      <c r="M106" s="505">
        <f t="shared" si="28"/>
        <v>0</v>
      </c>
      <c r="N106" s="507">
        <f>I106</f>
        <v>114599.47152988262</v>
      </c>
      <c r="O106" s="505">
        <f>IF(N106&lt;&gt;0,+I106-N106,0)</f>
        <v>0</v>
      </c>
      <c r="P106" s="505">
        <f>+O106-M106</f>
        <v>0</v>
      </c>
      <c r="Q106" s="244"/>
      <c r="R106" s="244"/>
      <c r="S106" s="244"/>
      <c r="T106" s="244"/>
      <c r="U106" s="244"/>
    </row>
    <row r="107" spans="1:21">
      <c r="B107" s="145" t="str">
        <f t="shared" si="21"/>
        <v/>
      </c>
      <c r="C107" s="496">
        <f>IF(D94="","-",+C106+1)</f>
        <v>2017</v>
      </c>
      <c r="D107" s="497">
        <v>869462.39014959417</v>
      </c>
      <c r="E107" s="499">
        <v>24644.433499999999</v>
      </c>
      <c r="F107" s="506">
        <v>844817.95664959413</v>
      </c>
      <c r="G107" s="506">
        <v>857140.17339959415</v>
      </c>
      <c r="H107" s="499">
        <v>125217.71649626724</v>
      </c>
      <c r="I107" s="500">
        <v>125217.71649626724</v>
      </c>
      <c r="J107" s="505">
        <f t="shared" si="22"/>
        <v>0</v>
      </c>
      <c r="K107" s="505"/>
      <c r="L107" s="507">
        <f>H107</f>
        <v>125217.71649626724</v>
      </c>
      <c r="M107" s="505">
        <f t="shared" si="28"/>
        <v>0</v>
      </c>
      <c r="N107" s="507">
        <f>I107</f>
        <v>125217.71649626724</v>
      </c>
      <c r="O107" s="505">
        <f>IF(N107&lt;&gt;0,+I107-N107,0)</f>
        <v>0</v>
      </c>
      <c r="P107" s="505">
        <f>+O107-M107</f>
        <v>0</v>
      </c>
      <c r="Q107" s="244"/>
      <c r="R107" s="244"/>
      <c r="S107" s="244"/>
      <c r="T107" s="244"/>
      <c r="U107" s="244"/>
    </row>
    <row r="108" spans="1:21">
      <c r="B108" s="145" t="str">
        <f t="shared" si="21"/>
        <v/>
      </c>
      <c r="C108" s="496">
        <f>IF(D94="","-",+C107+1)</f>
        <v>2018</v>
      </c>
      <c r="D108" s="497">
        <v>844817.95664959413</v>
      </c>
      <c r="E108" s="499">
        <v>27382.703888888889</v>
      </c>
      <c r="F108" s="506">
        <v>817435.25276070519</v>
      </c>
      <c r="G108" s="506">
        <v>831126.60470514966</v>
      </c>
      <c r="H108" s="499">
        <v>115118.46379296975</v>
      </c>
      <c r="I108" s="500">
        <v>115118.46379296975</v>
      </c>
      <c r="J108" s="505">
        <f t="shared" si="22"/>
        <v>0</v>
      </c>
      <c r="K108" s="505"/>
      <c r="L108" s="507">
        <f>H108</f>
        <v>115118.46379296975</v>
      </c>
      <c r="M108" s="505">
        <f t="shared" ref="M108" si="29">IF(L108&lt;&gt;0,+H108-L108,0)</f>
        <v>0</v>
      </c>
      <c r="N108" s="507">
        <f>I108</f>
        <v>115118.46379296975</v>
      </c>
      <c r="O108" s="505">
        <f>IF(N108&lt;&gt;0,+I108-N108,0)</f>
        <v>0</v>
      </c>
      <c r="P108" s="505">
        <f>+O108-M108</f>
        <v>0</v>
      </c>
      <c r="Q108" s="244"/>
      <c r="R108" s="244"/>
      <c r="S108" s="244"/>
      <c r="T108" s="244"/>
      <c r="U108" s="244"/>
    </row>
    <row r="109" spans="1:21">
      <c r="B109" s="145" t="str">
        <f t="shared" si="21"/>
        <v/>
      </c>
      <c r="C109" s="496">
        <f>IF(D94="","-",+C108+1)</f>
        <v>2019</v>
      </c>
      <c r="D109" s="497">
        <v>817435.25276070519</v>
      </c>
      <c r="E109" s="499">
        <v>27382.703888888889</v>
      </c>
      <c r="F109" s="506">
        <v>790052.54887181625</v>
      </c>
      <c r="G109" s="506">
        <v>803743.90081626072</v>
      </c>
      <c r="H109" s="499">
        <v>112227.87850750366</v>
      </c>
      <c r="I109" s="500">
        <v>112227.87850750366</v>
      </c>
      <c r="J109" s="505">
        <f t="shared" si="22"/>
        <v>0</v>
      </c>
      <c r="K109" s="505"/>
      <c r="L109" s="507">
        <f>H109</f>
        <v>112227.87850750366</v>
      </c>
      <c r="M109" s="505">
        <f t="shared" ref="M109" si="30">IF(L109&lt;&gt;0,+H109-L109,0)</f>
        <v>0</v>
      </c>
      <c r="N109" s="507">
        <f>I109</f>
        <v>112227.87850750366</v>
      </c>
      <c r="O109" s="505">
        <f>IF(N109&lt;&gt;0,+I109-N109,0)</f>
        <v>0</v>
      </c>
      <c r="P109" s="505">
        <f t="shared" si="26"/>
        <v>0</v>
      </c>
      <c r="Q109" s="244"/>
      <c r="R109" s="244"/>
      <c r="S109" s="244"/>
      <c r="T109" s="244"/>
      <c r="U109" s="244"/>
    </row>
    <row r="110" spans="1:21">
      <c r="B110" s="145" t="str">
        <f t="shared" si="21"/>
        <v/>
      </c>
      <c r="C110" s="496">
        <f>IF(D94="","-",+C109+1)</f>
        <v>2020</v>
      </c>
      <c r="D110" s="497">
        <v>790052.54887181625</v>
      </c>
      <c r="E110" s="499">
        <v>35206.333571428571</v>
      </c>
      <c r="F110" s="506">
        <v>754846.2153003877</v>
      </c>
      <c r="G110" s="506">
        <v>772449.38208610192</v>
      </c>
      <c r="H110" s="499">
        <v>117405.37509665726</v>
      </c>
      <c r="I110" s="500">
        <v>117405.37509665726</v>
      </c>
      <c r="J110" s="505">
        <f t="shared" si="22"/>
        <v>0</v>
      </c>
      <c r="K110" s="505"/>
      <c r="L110" s="507">
        <f>H110</f>
        <v>117405.37509665726</v>
      </c>
      <c r="M110" s="505">
        <f t="shared" ref="M110" si="31">IF(L110&lt;&gt;0,+H110-L110,0)</f>
        <v>0</v>
      </c>
      <c r="N110" s="507">
        <f>I110</f>
        <v>117405.37509665726</v>
      </c>
      <c r="O110" s="505">
        <f t="shared" si="25"/>
        <v>0</v>
      </c>
      <c r="P110" s="505">
        <f t="shared" si="26"/>
        <v>0</v>
      </c>
      <c r="Q110" s="244"/>
      <c r="R110" s="244"/>
      <c r="S110" s="244"/>
      <c r="T110" s="244"/>
      <c r="U110" s="244"/>
    </row>
    <row r="111" spans="1:21">
      <c r="B111" s="145" t="str">
        <f t="shared" si="21"/>
        <v/>
      </c>
      <c r="C111" s="496">
        <f>IF(D94="","-",+C110+1)</f>
        <v>2021</v>
      </c>
      <c r="D111" s="350">
        <f>IF(F110+SUM(E$100:E110)=D$93,F110,D$93-SUM(E$100:E110))</f>
        <v>754846.2153003877</v>
      </c>
      <c r="E111" s="510">
        <f>IF(+J97&lt;F110,J97,D111)</f>
        <v>39431.0936</v>
      </c>
      <c r="F111" s="511">
        <f t="shared" ref="F111:F131" si="32">+D111-E111</f>
        <v>715415.12170038768</v>
      </c>
      <c r="G111" s="511">
        <f t="shared" ref="G111:G131" si="33">+(F111+D111)/2</f>
        <v>735130.66850038769</v>
      </c>
      <c r="H111" s="646">
        <f t="shared" ref="H111:H155" si="34">(D111+F111)/2*J$95+E111</f>
        <v>126148.58717460747</v>
      </c>
      <c r="I111" s="573">
        <f t="shared" ref="I111:I155" si="35">+J$96*G111+E111</f>
        <v>126148.58717460747</v>
      </c>
      <c r="J111" s="505">
        <f t="shared" si="22"/>
        <v>0</v>
      </c>
      <c r="K111" s="505"/>
      <c r="L111" s="513"/>
      <c r="M111" s="505">
        <f t="shared" si="27"/>
        <v>0</v>
      </c>
      <c r="N111" s="513"/>
      <c r="O111" s="505">
        <f t="shared" si="25"/>
        <v>0</v>
      </c>
      <c r="P111" s="505">
        <f t="shared" si="26"/>
        <v>0</v>
      </c>
      <c r="Q111" s="244"/>
      <c r="R111" s="244"/>
      <c r="S111" s="244"/>
      <c r="T111" s="244"/>
      <c r="U111" s="244"/>
    </row>
    <row r="112" spans="1:21">
      <c r="B112" s="145" t="str">
        <f t="shared" si="21"/>
        <v/>
      </c>
      <c r="C112" s="496">
        <f>IF(D94="","-",+C111+1)</f>
        <v>2022</v>
      </c>
      <c r="D112" s="350">
        <f>IF(F111+SUM(E$100:E111)=D$93,F111,D$93-SUM(E$100:E111))</f>
        <v>715415.12170038768</v>
      </c>
      <c r="E112" s="510">
        <f>IF(+J97&lt;F111,J97,D112)</f>
        <v>39431.0936</v>
      </c>
      <c r="F112" s="511">
        <f t="shared" si="32"/>
        <v>675984.02810038766</v>
      </c>
      <c r="G112" s="511">
        <f t="shared" si="33"/>
        <v>695699.57490038767</v>
      </c>
      <c r="H112" s="646">
        <f t="shared" si="34"/>
        <v>121497.21599338195</v>
      </c>
      <c r="I112" s="573">
        <f t="shared" si="35"/>
        <v>121497.21599338195</v>
      </c>
      <c r="J112" s="505">
        <f t="shared" si="22"/>
        <v>0</v>
      </c>
      <c r="K112" s="505"/>
      <c r="L112" s="513"/>
      <c r="M112" s="505">
        <f t="shared" si="27"/>
        <v>0</v>
      </c>
      <c r="N112" s="513"/>
      <c r="O112" s="505">
        <f t="shared" si="25"/>
        <v>0</v>
      </c>
      <c r="P112" s="505">
        <f t="shared" si="26"/>
        <v>0</v>
      </c>
      <c r="Q112" s="244"/>
      <c r="R112" s="244"/>
      <c r="S112" s="244"/>
      <c r="T112" s="244"/>
      <c r="U112" s="244"/>
    </row>
    <row r="113" spans="2:21">
      <c r="B113" s="145" t="str">
        <f t="shared" si="21"/>
        <v/>
      </c>
      <c r="C113" s="496">
        <f>IF(D94="","-",+C112+1)</f>
        <v>2023</v>
      </c>
      <c r="D113" s="350">
        <f>IF(F112+SUM(E$100:E112)=D$93,F112,D$93-SUM(E$100:E112))</f>
        <v>675984.02810038766</v>
      </c>
      <c r="E113" s="510">
        <f>IF(+J97&lt;F112,J97,D113)</f>
        <v>39431.0936</v>
      </c>
      <c r="F113" s="511">
        <f t="shared" si="32"/>
        <v>636552.93450038764</v>
      </c>
      <c r="G113" s="511">
        <f t="shared" si="33"/>
        <v>656268.48130038765</v>
      </c>
      <c r="H113" s="646">
        <f t="shared" si="34"/>
        <v>116845.84481215646</v>
      </c>
      <c r="I113" s="573">
        <f t="shared" si="35"/>
        <v>116845.84481215646</v>
      </c>
      <c r="J113" s="505">
        <f t="shared" si="22"/>
        <v>0</v>
      </c>
      <c r="K113" s="505"/>
      <c r="L113" s="513"/>
      <c r="M113" s="505">
        <f t="shared" si="27"/>
        <v>0</v>
      </c>
      <c r="N113" s="513"/>
      <c r="O113" s="505">
        <f t="shared" si="25"/>
        <v>0</v>
      </c>
      <c r="P113" s="505">
        <f t="shared" si="26"/>
        <v>0</v>
      </c>
      <c r="Q113" s="244"/>
      <c r="R113" s="244"/>
      <c r="S113" s="244"/>
      <c r="T113" s="244"/>
      <c r="U113" s="244"/>
    </row>
    <row r="114" spans="2:21">
      <c r="B114" s="145" t="str">
        <f t="shared" si="21"/>
        <v/>
      </c>
      <c r="C114" s="496">
        <f>IF(D94="","-",+C113+1)</f>
        <v>2024</v>
      </c>
      <c r="D114" s="350">
        <f>IF(F113+SUM(E$100:E113)=D$93,F113,D$93-SUM(E$100:E113))</f>
        <v>636552.93450038764</v>
      </c>
      <c r="E114" s="510">
        <f>IF(+J97&lt;F113,J97,D114)</f>
        <v>39431.0936</v>
      </c>
      <c r="F114" s="511">
        <f t="shared" si="32"/>
        <v>597121.84090038761</v>
      </c>
      <c r="G114" s="511">
        <f t="shared" si="33"/>
        <v>616837.38770038763</v>
      </c>
      <c r="H114" s="646">
        <f t="shared" si="34"/>
        <v>112194.47363093094</v>
      </c>
      <c r="I114" s="573">
        <f t="shared" si="35"/>
        <v>112194.47363093094</v>
      </c>
      <c r="J114" s="505">
        <f t="shared" si="22"/>
        <v>0</v>
      </c>
      <c r="K114" s="505"/>
      <c r="L114" s="513"/>
      <c r="M114" s="505">
        <f t="shared" si="27"/>
        <v>0</v>
      </c>
      <c r="N114" s="513"/>
      <c r="O114" s="505">
        <f t="shared" si="25"/>
        <v>0</v>
      </c>
      <c r="P114" s="505">
        <f t="shared" si="26"/>
        <v>0</v>
      </c>
      <c r="Q114" s="244"/>
      <c r="R114" s="244"/>
      <c r="S114" s="244"/>
      <c r="T114" s="244"/>
      <c r="U114" s="244"/>
    </row>
    <row r="115" spans="2:21">
      <c r="B115" s="145" t="str">
        <f t="shared" si="21"/>
        <v/>
      </c>
      <c r="C115" s="496">
        <f>IF(D94="","-",+C114+1)</f>
        <v>2025</v>
      </c>
      <c r="D115" s="350">
        <f>IF(F114+SUM(E$100:E114)=D$93,F114,D$93-SUM(E$100:E114))</f>
        <v>597121.84090038761</v>
      </c>
      <c r="E115" s="510">
        <f>IF(+J97&lt;F114,J97,D115)</f>
        <v>39431.0936</v>
      </c>
      <c r="F115" s="511">
        <f t="shared" si="32"/>
        <v>557690.74730038759</v>
      </c>
      <c r="G115" s="511">
        <f t="shared" si="33"/>
        <v>577406.2941003876</v>
      </c>
      <c r="H115" s="646">
        <f t="shared" si="34"/>
        <v>107543.10244970542</v>
      </c>
      <c r="I115" s="573">
        <f t="shared" si="35"/>
        <v>107543.10244970542</v>
      </c>
      <c r="J115" s="505">
        <f t="shared" si="22"/>
        <v>0</v>
      </c>
      <c r="K115" s="505"/>
      <c r="L115" s="513"/>
      <c r="M115" s="505">
        <f t="shared" si="27"/>
        <v>0</v>
      </c>
      <c r="N115" s="513"/>
      <c r="O115" s="505">
        <f t="shared" si="25"/>
        <v>0</v>
      </c>
      <c r="P115" s="505">
        <f t="shared" si="26"/>
        <v>0</v>
      </c>
      <c r="Q115" s="244"/>
      <c r="R115" s="244"/>
      <c r="S115" s="244"/>
      <c r="T115" s="244"/>
      <c r="U115" s="244"/>
    </row>
    <row r="116" spans="2:21">
      <c r="B116" s="145" t="str">
        <f t="shared" si="21"/>
        <v/>
      </c>
      <c r="C116" s="496">
        <f>IF(D94="","-",+C115+1)</f>
        <v>2026</v>
      </c>
      <c r="D116" s="350">
        <f>IF(F115+SUM(E$100:E115)=D$93,F115,D$93-SUM(E$100:E115))</f>
        <v>557690.74730038759</v>
      </c>
      <c r="E116" s="510">
        <f>IF(+J97&lt;F115,J97,D116)</f>
        <v>39431.0936</v>
      </c>
      <c r="F116" s="511">
        <f t="shared" si="32"/>
        <v>518259.65370038757</v>
      </c>
      <c r="G116" s="511">
        <f t="shared" si="33"/>
        <v>537975.20050038758</v>
      </c>
      <c r="H116" s="646">
        <f t="shared" si="34"/>
        <v>102891.73126847993</v>
      </c>
      <c r="I116" s="573">
        <f t="shared" si="35"/>
        <v>102891.73126847993</v>
      </c>
      <c r="J116" s="505">
        <f t="shared" si="22"/>
        <v>0</v>
      </c>
      <c r="K116" s="505"/>
      <c r="L116" s="513"/>
      <c r="M116" s="505">
        <f t="shared" si="27"/>
        <v>0</v>
      </c>
      <c r="N116" s="513"/>
      <c r="O116" s="505">
        <f t="shared" si="25"/>
        <v>0</v>
      </c>
      <c r="P116" s="505">
        <f t="shared" si="26"/>
        <v>0</v>
      </c>
      <c r="Q116" s="244"/>
      <c r="R116" s="244"/>
      <c r="S116" s="244"/>
      <c r="T116" s="244"/>
      <c r="U116" s="244"/>
    </row>
    <row r="117" spans="2:21">
      <c r="B117" s="145" t="str">
        <f t="shared" si="21"/>
        <v/>
      </c>
      <c r="C117" s="496">
        <f>IF(D94="","-",+C116+1)</f>
        <v>2027</v>
      </c>
      <c r="D117" s="350">
        <f>IF(F116+SUM(E$100:E116)=D$93,F116,D$93-SUM(E$100:E116))</f>
        <v>518259.65370038757</v>
      </c>
      <c r="E117" s="510">
        <f>IF(+J97&lt;F116,J97,D117)</f>
        <v>39431.0936</v>
      </c>
      <c r="F117" s="511">
        <f t="shared" si="32"/>
        <v>478828.56010038755</v>
      </c>
      <c r="G117" s="511">
        <f t="shared" si="33"/>
        <v>498544.10690038756</v>
      </c>
      <c r="H117" s="646">
        <f t="shared" si="34"/>
        <v>98240.360087254405</v>
      </c>
      <c r="I117" s="573">
        <f t="shared" si="35"/>
        <v>98240.360087254405</v>
      </c>
      <c r="J117" s="505">
        <f t="shared" si="22"/>
        <v>0</v>
      </c>
      <c r="K117" s="505"/>
      <c r="L117" s="513"/>
      <c r="M117" s="505">
        <f t="shared" si="27"/>
        <v>0</v>
      </c>
      <c r="N117" s="513"/>
      <c r="O117" s="505">
        <f t="shared" si="25"/>
        <v>0</v>
      </c>
      <c r="P117" s="505">
        <f t="shared" si="26"/>
        <v>0</v>
      </c>
      <c r="Q117" s="244"/>
      <c r="R117" s="244"/>
      <c r="S117" s="244"/>
      <c r="T117" s="244"/>
      <c r="U117" s="244"/>
    </row>
    <row r="118" spans="2:21">
      <c r="B118" s="145" t="str">
        <f t="shared" si="21"/>
        <v/>
      </c>
      <c r="C118" s="496">
        <f>IF(D94="","-",+C117+1)</f>
        <v>2028</v>
      </c>
      <c r="D118" s="350">
        <f>IF(F117+SUM(E$100:E117)=D$93,F117,D$93-SUM(E$100:E117))</f>
        <v>478828.56010038755</v>
      </c>
      <c r="E118" s="510">
        <f>IF(+J97&lt;F117,J97,D118)</f>
        <v>39431.0936</v>
      </c>
      <c r="F118" s="511">
        <f t="shared" si="32"/>
        <v>439397.46650038753</v>
      </c>
      <c r="G118" s="511">
        <f t="shared" si="33"/>
        <v>459113.01330038754</v>
      </c>
      <c r="H118" s="646">
        <f t="shared" si="34"/>
        <v>93588.988906028884</v>
      </c>
      <c r="I118" s="573">
        <f t="shared" si="35"/>
        <v>93588.988906028884</v>
      </c>
      <c r="J118" s="505">
        <f t="shared" si="22"/>
        <v>0</v>
      </c>
      <c r="K118" s="505"/>
      <c r="L118" s="513"/>
      <c r="M118" s="505">
        <f t="shared" si="27"/>
        <v>0</v>
      </c>
      <c r="N118" s="513"/>
      <c r="O118" s="505">
        <f t="shared" si="25"/>
        <v>0</v>
      </c>
      <c r="P118" s="505">
        <f t="shared" si="26"/>
        <v>0</v>
      </c>
      <c r="Q118" s="244"/>
      <c r="R118" s="244"/>
      <c r="S118" s="244"/>
      <c r="T118" s="244"/>
      <c r="U118" s="244"/>
    </row>
    <row r="119" spans="2:21">
      <c r="B119" s="145" t="str">
        <f t="shared" si="21"/>
        <v/>
      </c>
      <c r="C119" s="496">
        <f>IF(D94="","-",+C118+1)</f>
        <v>2029</v>
      </c>
      <c r="D119" s="350">
        <f>IF(F118+SUM(E$100:E118)=D$93,F118,D$93-SUM(E$100:E118))</f>
        <v>439397.46650038753</v>
      </c>
      <c r="E119" s="510">
        <f>IF(+J97&lt;F118,J97,D119)</f>
        <v>39431.0936</v>
      </c>
      <c r="F119" s="511">
        <f t="shared" si="32"/>
        <v>399966.37290038751</v>
      </c>
      <c r="G119" s="511">
        <f t="shared" si="33"/>
        <v>419681.91970038752</v>
      </c>
      <c r="H119" s="646">
        <f t="shared" si="34"/>
        <v>88937.617724803393</v>
      </c>
      <c r="I119" s="573">
        <f t="shared" si="35"/>
        <v>88937.617724803393</v>
      </c>
      <c r="J119" s="505">
        <f t="shared" si="22"/>
        <v>0</v>
      </c>
      <c r="K119" s="505"/>
      <c r="L119" s="513"/>
      <c r="M119" s="505">
        <f t="shared" si="27"/>
        <v>0</v>
      </c>
      <c r="N119" s="513"/>
      <c r="O119" s="505">
        <f t="shared" si="25"/>
        <v>0</v>
      </c>
      <c r="P119" s="505">
        <f t="shared" si="26"/>
        <v>0</v>
      </c>
      <c r="Q119" s="244"/>
      <c r="R119" s="244"/>
      <c r="S119" s="244"/>
      <c r="T119" s="244"/>
      <c r="U119" s="244"/>
    </row>
    <row r="120" spans="2:21">
      <c r="B120" s="145" t="str">
        <f t="shared" si="21"/>
        <v/>
      </c>
      <c r="C120" s="496">
        <f>IF(D94="","-",+C119+1)</f>
        <v>2030</v>
      </c>
      <c r="D120" s="350">
        <f>IF(F119+SUM(E$100:E119)=D$93,F119,D$93-SUM(E$100:E119))</f>
        <v>399966.37290038751</v>
      </c>
      <c r="E120" s="510">
        <f>IF(+J97&lt;F119,J97,D120)</f>
        <v>39431.0936</v>
      </c>
      <c r="F120" s="511">
        <f t="shared" si="32"/>
        <v>360535.27930038748</v>
      </c>
      <c r="G120" s="511">
        <f t="shared" si="33"/>
        <v>380250.82610038749</v>
      </c>
      <c r="H120" s="646">
        <f t="shared" si="34"/>
        <v>84286.246543577872</v>
      </c>
      <c r="I120" s="573">
        <f t="shared" si="35"/>
        <v>84286.246543577872</v>
      </c>
      <c r="J120" s="505">
        <f t="shared" si="22"/>
        <v>0</v>
      </c>
      <c r="K120" s="505"/>
      <c r="L120" s="513"/>
      <c r="M120" s="505">
        <f t="shared" si="27"/>
        <v>0</v>
      </c>
      <c r="N120" s="513"/>
      <c r="O120" s="505">
        <f t="shared" si="25"/>
        <v>0</v>
      </c>
      <c r="P120" s="505">
        <f t="shared" si="26"/>
        <v>0</v>
      </c>
      <c r="Q120" s="244"/>
      <c r="R120" s="244"/>
      <c r="S120" s="244"/>
      <c r="T120" s="244"/>
      <c r="U120" s="244"/>
    </row>
    <row r="121" spans="2:21">
      <c r="B121" s="145" t="str">
        <f t="shared" si="21"/>
        <v/>
      </c>
      <c r="C121" s="496">
        <f>IF(D94="","-",+C120+1)</f>
        <v>2031</v>
      </c>
      <c r="D121" s="350">
        <f>IF(F120+SUM(E$100:E120)=D$93,F120,D$93-SUM(E$100:E120))</f>
        <v>360535.27930038748</v>
      </c>
      <c r="E121" s="510">
        <f>IF(+J97&lt;F120,J97,D121)</f>
        <v>39431.0936</v>
      </c>
      <c r="F121" s="511">
        <f t="shared" si="32"/>
        <v>321104.18570038746</v>
      </c>
      <c r="G121" s="511">
        <f t="shared" si="33"/>
        <v>340819.73250038747</v>
      </c>
      <c r="H121" s="646">
        <f t="shared" si="34"/>
        <v>79634.875362352352</v>
      </c>
      <c r="I121" s="573">
        <f t="shared" si="35"/>
        <v>79634.875362352352</v>
      </c>
      <c r="J121" s="505">
        <f t="shared" si="22"/>
        <v>0</v>
      </c>
      <c r="K121" s="505"/>
      <c r="L121" s="513"/>
      <c r="M121" s="505">
        <f t="shared" si="27"/>
        <v>0</v>
      </c>
      <c r="N121" s="513"/>
      <c r="O121" s="505">
        <f t="shared" si="25"/>
        <v>0</v>
      </c>
      <c r="P121" s="505">
        <f t="shared" si="26"/>
        <v>0</v>
      </c>
      <c r="Q121" s="244"/>
      <c r="R121" s="244"/>
      <c r="S121" s="244"/>
      <c r="T121" s="244"/>
      <c r="U121" s="244"/>
    </row>
    <row r="122" spans="2:21">
      <c r="B122" s="145" t="str">
        <f t="shared" si="21"/>
        <v/>
      </c>
      <c r="C122" s="496">
        <f>IF(D94="","-",+C121+1)</f>
        <v>2032</v>
      </c>
      <c r="D122" s="350">
        <f>IF(F121+SUM(E$100:E121)=D$93,F121,D$93-SUM(E$100:E121))</f>
        <v>321104.18570038746</v>
      </c>
      <c r="E122" s="510">
        <f>IF(+J97&lt;F121,J97,D122)</f>
        <v>39431.0936</v>
      </c>
      <c r="F122" s="511">
        <f t="shared" si="32"/>
        <v>281673.09210038744</v>
      </c>
      <c r="G122" s="511">
        <f t="shared" si="33"/>
        <v>301388.63890038745</v>
      </c>
      <c r="H122" s="646">
        <f t="shared" si="34"/>
        <v>74983.50418112686</v>
      </c>
      <c r="I122" s="573">
        <f t="shared" si="35"/>
        <v>74983.50418112686</v>
      </c>
      <c r="J122" s="505">
        <f t="shared" si="22"/>
        <v>0</v>
      </c>
      <c r="K122" s="505"/>
      <c r="L122" s="513"/>
      <c r="M122" s="505">
        <f t="shared" si="27"/>
        <v>0</v>
      </c>
      <c r="N122" s="513"/>
      <c r="O122" s="505">
        <f t="shared" si="25"/>
        <v>0</v>
      </c>
      <c r="P122" s="505">
        <f t="shared" si="26"/>
        <v>0</v>
      </c>
      <c r="Q122" s="244"/>
      <c r="R122" s="244"/>
      <c r="S122" s="244"/>
      <c r="T122" s="244"/>
      <c r="U122" s="244"/>
    </row>
    <row r="123" spans="2:21">
      <c r="B123" s="145" t="str">
        <f t="shared" si="21"/>
        <v/>
      </c>
      <c r="C123" s="496">
        <f>IF(D94="","-",+C122+1)</f>
        <v>2033</v>
      </c>
      <c r="D123" s="350">
        <f>IF(F122+SUM(E$100:E122)=D$93,F122,D$93-SUM(E$100:E122))</f>
        <v>281673.09210038744</v>
      </c>
      <c r="E123" s="510">
        <f>IF(+J97&lt;F122,J97,D123)</f>
        <v>39431.0936</v>
      </c>
      <c r="F123" s="511">
        <f t="shared" si="32"/>
        <v>242241.99850038745</v>
      </c>
      <c r="G123" s="511">
        <f t="shared" si="33"/>
        <v>261957.54530038743</v>
      </c>
      <c r="H123" s="646">
        <f t="shared" si="34"/>
        <v>70332.13299990134</v>
      </c>
      <c r="I123" s="573">
        <f t="shared" si="35"/>
        <v>70332.13299990134</v>
      </c>
      <c r="J123" s="505">
        <f t="shared" si="22"/>
        <v>0</v>
      </c>
      <c r="K123" s="505"/>
      <c r="L123" s="513"/>
      <c r="M123" s="505">
        <f t="shared" si="27"/>
        <v>0</v>
      </c>
      <c r="N123" s="513"/>
      <c r="O123" s="505">
        <f t="shared" si="25"/>
        <v>0</v>
      </c>
      <c r="P123" s="505">
        <f t="shared" si="26"/>
        <v>0</v>
      </c>
      <c r="Q123" s="244"/>
      <c r="R123" s="244"/>
      <c r="S123" s="244"/>
      <c r="T123" s="244"/>
      <c r="U123" s="244"/>
    </row>
    <row r="124" spans="2:21">
      <c r="B124" s="145" t="str">
        <f t="shared" si="21"/>
        <v/>
      </c>
      <c r="C124" s="496">
        <f>IF(D94="","-",+C123+1)</f>
        <v>2034</v>
      </c>
      <c r="D124" s="350">
        <f>IF(F123+SUM(E$100:E123)=D$93,F123,D$93-SUM(E$100:E123))</f>
        <v>242241.99850038745</v>
      </c>
      <c r="E124" s="510">
        <f>IF(+J97&lt;F123,J97,D124)</f>
        <v>39431.0936</v>
      </c>
      <c r="F124" s="511">
        <f t="shared" si="32"/>
        <v>202810.90490038745</v>
      </c>
      <c r="G124" s="511">
        <f t="shared" si="33"/>
        <v>222526.45170038746</v>
      </c>
      <c r="H124" s="646">
        <f t="shared" si="34"/>
        <v>65680.761818675834</v>
      </c>
      <c r="I124" s="573">
        <f t="shared" si="35"/>
        <v>65680.761818675834</v>
      </c>
      <c r="J124" s="505">
        <f t="shared" si="22"/>
        <v>0</v>
      </c>
      <c r="K124" s="505"/>
      <c r="L124" s="513"/>
      <c r="M124" s="505">
        <f t="shared" si="27"/>
        <v>0</v>
      </c>
      <c r="N124" s="513"/>
      <c r="O124" s="505">
        <f t="shared" si="25"/>
        <v>0</v>
      </c>
      <c r="P124" s="505">
        <f t="shared" si="26"/>
        <v>0</v>
      </c>
      <c r="Q124" s="244"/>
      <c r="R124" s="244"/>
      <c r="S124" s="244"/>
      <c r="T124" s="244"/>
      <c r="U124" s="244"/>
    </row>
    <row r="125" spans="2:21">
      <c r="B125" s="145" t="str">
        <f t="shared" si="21"/>
        <v/>
      </c>
      <c r="C125" s="496">
        <f>IF(D94="","-",+C124+1)</f>
        <v>2035</v>
      </c>
      <c r="D125" s="350">
        <f>IF(F124+SUM(E$100:E124)=D$93,F124,D$93-SUM(E$100:E124))</f>
        <v>202810.90490038745</v>
      </c>
      <c r="E125" s="510">
        <f>IF(+J97&lt;F124,J97,D125)</f>
        <v>39431.0936</v>
      </c>
      <c r="F125" s="511">
        <f t="shared" si="32"/>
        <v>163379.81130038746</v>
      </c>
      <c r="G125" s="511">
        <f t="shared" si="33"/>
        <v>183095.35810038744</v>
      </c>
      <c r="H125" s="646">
        <f t="shared" si="34"/>
        <v>61029.390637450328</v>
      </c>
      <c r="I125" s="573">
        <f t="shared" si="35"/>
        <v>61029.390637450328</v>
      </c>
      <c r="J125" s="505">
        <f t="shared" si="22"/>
        <v>0</v>
      </c>
      <c r="K125" s="505"/>
      <c r="L125" s="513"/>
      <c r="M125" s="505">
        <f t="shared" si="27"/>
        <v>0</v>
      </c>
      <c r="N125" s="513"/>
      <c r="O125" s="505">
        <f t="shared" si="25"/>
        <v>0</v>
      </c>
      <c r="P125" s="505">
        <f t="shared" si="26"/>
        <v>0</v>
      </c>
      <c r="Q125" s="244"/>
      <c r="R125" s="244"/>
      <c r="S125" s="244"/>
      <c r="T125" s="244"/>
      <c r="U125" s="244"/>
    </row>
    <row r="126" spans="2:21">
      <c r="B126" s="145" t="str">
        <f t="shared" si="21"/>
        <v/>
      </c>
      <c r="C126" s="496">
        <f>IF(D94="","-",+C125+1)</f>
        <v>2036</v>
      </c>
      <c r="D126" s="350">
        <f>IF(F125+SUM(E$100:E125)=D$93,F125,D$93-SUM(E$100:E125))</f>
        <v>163379.81130038746</v>
      </c>
      <c r="E126" s="510">
        <f>IF(+J97&lt;F125,J97,D126)</f>
        <v>39431.0936</v>
      </c>
      <c r="F126" s="511">
        <f t="shared" si="32"/>
        <v>123948.71770038747</v>
      </c>
      <c r="G126" s="511">
        <f t="shared" si="33"/>
        <v>143664.26450038748</v>
      </c>
      <c r="H126" s="646">
        <f t="shared" si="34"/>
        <v>56378.019456224822</v>
      </c>
      <c r="I126" s="573">
        <f t="shared" si="35"/>
        <v>56378.019456224822</v>
      </c>
      <c r="J126" s="505">
        <f t="shared" si="22"/>
        <v>0</v>
      </c>
      <c r="K126" s="505"/>
      <c r="L126" s="513"/>
      <c r="M126" s="505">
        <f t="shared" si="27"/>
        <v>0</v>
      </c>
      <c r="N126" s="513"/>
      <c r="O126" s="505">
        <f t="shared" si="25"/>
        <v>0</v>
      </c>
      <c r="P126" s="505">
        <f t="shared" si="26"/>
        <v>0</v>
      </c>
      <c r="Q126" s="244"/>
      <c r="R126" s="244"/>
      <c r="S126" s="244"/>
      <c r="T126" s="244"/>
      <c r="U126" s="244"/>
    </row>
    <row r="127" spans="2:21">
      <c r="B127" s="145" t="str">
        <f t="shared" si="21"/>
        <v/>
      </c>
      <c r="C127" s="496">
        <f>IF(D94="","-",+C126+1)</f>
        <v>2037</v>
      </c>
      <c r="D127" s="350">
        <f>IF(F126+SUM(E$100:E126)=D$93,F126,D$93-SUM(E$100:E126))</f>
        <v>123948.71770038747</v>
      </c>
      <c r="E127" s="510">
        <f>IF(+J97&lt;F126,J97,D127)</f>
        <v>39431.0936</v>
      </c>
      <c r="F127" s="511">
        <f t="shared" si="32"/>
        <v>84517.624100387475</v>
      </c>
      <c r="G127" s="511">
        <f t="shared" si="33"/>
        <v>104233.17090038747</v>
      </c>
      <c r="H127" s="646">
        <f t="shared" si="34"/>
        <v>51726.648274999316</v>
      </c>
      <c r="I127" s="573">
        <f t="shared" si="35"/>
        <v>51726.648274999316</v>
      </c>
      <c r="J127" s="505">
        <f t="shared" si="22"/>
        <v>0</v>
      </c>
      <c r="K127" s="505"/>
      <c r="L127" s="513"/>
      <c r="M127" s="505">
        <f t="shared" si="27"/>
        <v>0</v>
      </c>
      <c r="N127" s="513"/>
      <c r="O127" s="505">
        <f t="shared" si="25"/>
        <v>0</v>
      </c>
      <c r="P127" s="505">
        <f t="shared" si="26"/>
        <v>0</v>
      </c>
      <c r="Q127" s="244"/>
      <c r="R127" s="244"/>
      <c r="S127" s="244"/>
      <c r="T127" s="244"/>
      <c r="U127" s="244"/>
    </row>
    <row r="128" spans="2:21">
      <c r="B128" s="145" t="str">
        <f t="shared" si="21"/>
        <v/>
      </c>
      <c r="C128" s="496">
        <f>IF(D94="","-",+C127+1)</f>
        <v>2038</v>
      </c>
      <c r="D128" s="350">
        <f>IF(F127+SUM(E$100:E127)=D$93,F127,D$93-SUM(E$100:E127))</f>
        <v>84517.624100387475</v>
      </c>
      <c r="E128" s="510">
        <f>IF(+J97&lt;F127,J97,D128)</f>
        <v>39431.0936</v>
      </c>
      <c r="F128" s="511">
        <f t="shared" si="32"/>
        <v>45086.530500387475</v>
      </c>
      <c r="G128" s="511">
        <f t="shared" si="33"/>
        <v>64802.077300387478</v>
      </c>
      <c r="H128" s="646">
        <f t="shared" si="34"/>
        <v>47075.27709377381</v>
      </c>
      <c r="I128" s="573">
        <f t="shared" si="35"/>
        <v>47075.27709377381</v>
      </c>
      <c r="J128" s="505">
        <f t="shared" si="22"/>
        <v>0</v>
      </c>
      <c r="K128" s="505"/>
      <c r="L128" s="513"/>
      <c r="M128" s="505">
        <f t="shared" si="27"/>
        <v>0</v>
      </c>
      <c r="N128" s="513"/>
      <c r="O128" s="505">
        <f t="shared" si="25"/>
        <v>0</v>
      </c>
      <c r="P128" s="505">
        <f t="shared" si="26"/>
        <v>0</v>
      </c>
      <c r="Q128" s="244"/>
      <c r="R128" s="244"/>
      <c r="S128" s="244"/>
      <c r="T128" s="244"/>
      <c r="U128" s="244"/>
    </row>
    <row r="129" spans="2:21">
      <c r="B129" s="145" t="str">
        <f t="shared" si="21"/>
        <v/>
      </c>
      <c r="C129" s="496">
        <f>IF(D94="","-",+C128+1)</f>
        <v>2039</v>
      </c>
      <c r="D129" s="350">
        <f>IF(F128+SUM(E$100:E128)=D$93,F128,D$93-SUM(E$100:E128))</f>
        <v>45086.530500387475</v>
      </c>
      <c r="E129" s="510">
        <f>IF(+J97&lt;F128,J97,D129)</f>
        <v>39431.0936</v>
      </c>
      <c r="F129" s="511">
        <f t="shared" si="32"/>
        <v>5655.4369003874745</v>
      </c>
      <c r="G129" s="511">
        <f t="shared" si="33"/>
        <v>25370.983700387475</v>
      </c>
      <c r="H129" s="646">
        <f t="shared" si="34"/>
        <v>42423.905912548296</v>
      </c>
      <c r="I129" s="573">
        <f t="shared" si="35"/>
        <v>42423.905912548296</v>
      </c>
      <c r="J129" s="505">
        <f t="shared" si="22"/>
        <v>0</v>
      </c>
      <c r="K129" s="505"/>
      <c r="L129" s="513"/>
      <c r="M129" s="505">
        <f t="shared" si="27"/>
        <v>0</v>
      </c>
      <c r="N129" s="513"/>
      <c r="O129" s="505">
        <f t="shared" si="25"/>
        <v>0</v>
      </c>
      <c r="P129" s="505">
        <f t="shared" si="26"/>
        <v>0</v>
      </c>
      <c r="Q129" s="244"/>
      <c r="R129" s="244"/>
      <c r="S129" s="244"/>
      <c r="T129" s="244"/>
      <c r="U129" s="244"/>
    </row>
    <row r="130" spans="2:21">
      <c r="B130" s="145" t="str">
        <f t="shared" si="21"/>
        <v/>
      </c>
      <c r="C130" s="496">
        <f>IF(D94="","-",+C129+1)</f>
        <v>2040</v>
      </c>
      <c r="D130" s="350">
        <f>IF(F129+SUM(E$100:E129)=D$93,F129,D$93-SUM(E$100:E129))</f>
        <v>5655.4369003874745</v>
      </c>
      <c r="E130" s="510">
        <f>IF(+J97&lt;F129,J97,D130)</f>
        <v>5655.4369003874745</v>
      </c>
      <c r="F130" s="511">
        <f t="shared" si="32"/>
        <v>0</v>
      </c>
      <c r="G130" s="511">
        <f t="shared" si="33"/>
        <v>2827.7184501937372</v>
      </c>
      <c r="H130" s="646">
        <f t="shared" si="34"/>
        <v>5989.000261355246</v>
      </c>
      <c r="I130" s="573">
        <f t="shared" si="35"/>
        <v>5989.000261355246</v>
      </c>
      <c r="J130" s="505">
        <f t="shared" si="22"/>
        <v>0</v>
      </c>
      <c r="K130" s="505"/>
      <c r="L130" s="513"/>
      <c r="M130" s="505">
        <f t="shared" si="27"/>
        <v>0</v>
      </c>
      <c r="N130" s="513"/>
      <c r="O130" s="505">
        <f t="shared" si="25"/>
        <v>0</v>
      </c>
      <c r="P130" s="505">
        <f t="shared" si="26"/>
        <v>0</v>
      </c>
      <c r="Q130" s="244"/>
      <c r="R130" s="244"/>
      <c r="S130" s="244"/>
      <c r="T130" s="244"/>
      <c r="U130" s="244"/>
    </row>
    <row r="131" spans="2:21">
      <c r="B131" s="145" t="str">
        <f t="shared" si="21"/>
        <v/>
      </c>
      <c r="C131" s="496">
        <f>IF(D94="","-",+C130+1)</f>
        <v>2041</v>
      </c>
      <c r="D131" s="350">
        <f>IF(F130+SUM(E$100:E130)=D$93,F130,D$93-SUM(E$100:E130))</f>
        <v>0</v>
      </c>
      <c r="E131" s="510">
        <f>IF(+J97&lt;F130,J97,D131)</f>
        <v>0</v>
      </c>
      <c r="F131" s="511">
        <f t="shared" si="32"/>
        <v>0</v>
      </c>
      <c r="G131" s="511">
        <f t="shared" si="33"/>
        <v>0</v>
      </c>
      <c r="H131" s="646">
        <f t="shared" si="34"/>
        <v>0</v>
      </c>
      <c r="I131" s="573">
        <f t="shared" si="35"/>
        <v>0</v>
      </c>
      <c r="J131" s="505">
        <f t="shared" si="22"/>
        <v>0</v>
      </c>
      <c r="K131" s="505"/>
      <c r="L131" s="513"/>
      <c r="M131" s="505">
        <f t="shared" si="27"/>
        <v>0</v>
      </c>
      <c r="N131" s="513"/>
      <c r="O131" s="505">
        <f t="shared" si="25"/>
        <v>0</v>
      </c>
      <c r="P131" s="505">
        <f t="shared" si="26"/>
        <v>0</v>
      </c>
      <c r="Q131" s="244"/>
      <c r="R131" s="244"/>
      <c r="S131" s="244"/>
      <c r="T131" s="244"/>
      <c r="U131" s="244"/>
    </row>
    <row r="132" spans="2:21">
      <c r="B132" s="145" t="str">
        <f t="shared" si="21"/>
        <v/>
      </c>
      <c r="C132" s="496">
        <f>IF(D94="","-",+C131+1)</f>
        <v>2042</v>
      </c>
      <c r="D132" s="350">
        <f>IF(F131+SUM(E$100:E131)=D$93,F131,D$93-SUM(E$100:E131))</f>
        <v>0</v>
      </c>
      <c r="E132" s="510">
        <f>IF(+J97&lt;F131,J97,D132)</f>
        <v>0</v>
      </c>
      <c r="F132" s="511">
        <f t="shared" ref="F132:F155" si="36">+D132-E132</f>
        <v>0</v>
      </c>
      <c r="G132" s="511">
        <f t="shared" ref="G132:G155" si="37">+(F132+D132)/2</f>
        <v>0</v>
      </c>
      <c r="H132" s="646">
        <f t="shared" si="34"/>
        <v>0</v>
      </c>
      <c r="I132" s="573">
        <f t="shared" si="35"/>
        <v>0</v>
      </c>
      <c r="J132" s="505">
        <f t="shared" ref="J132:J155" si="38">+I132-H132</f>
        <v>0</v>
      </c>
      <c r="K132" s="505"/>
      <c r="L132" s="513"/>
      <c r="M132" s="505">
        <f t="shared" ref="M132:M155" si="39">IF(L132&lt;&gt;0,+H132-L132,0)</f>
        <v>0</v>
      </c>
      <c r="N132" s="513"/>
      <c r="O132" s="505">
        <f t="shared" ref="O132:O155" si="40">IF(N132&lt;&gt;0,+I132-N132,0)</f>
        <v>0</v>
      </c>
      <c r="P132" s="505">
        <f t="shared" ref="P132:P155" si="41">+O132-M132</f>
        <v>0</v>
      </c>
      <c r="Q132" s="244"/>
      <c r="R132" s="244"/>
      <c r="S132" s="244"/>
      <c r="T132" s="244"/>
      <c r="U132" s="244"/>
    </row>
    <row r="133" spans="2:21">
      <c r="B133" s="145" t="str">
        <f t="shared" si="21"/>
        <v/>
      </c>
      <c r="C133" s="496">
        <f>IF(D94="","-",+C132+1)</f>
        <v>2043</v>
      </c>
      <c r="D133" s="350">
        <f>IF(F132+SUM(E$100:E132)=D$93,F132,D$93-SUM(E$100:E132))</f>
        <v>0</v>
      </c>
      <c r="E133" s="510">
        <f>IF(+J97&lt;F132,J97,D133)</f>
        <v>0</v>
      </c>
      <c r="F133" s="511">
        <f t="shared" si="36"/>
        <v>0</v>
      </c>
      <c r="G133" s="511">
        <f t="shared" si="37"/>
        <v>0</v>
      </c>
      <c r="H133" s="646">
        <f t="shared" si="34"/>
        <v>0</v>
      </c>
      <c r="I133" s="573">
        <f t="shared" si="35"/>
        <v>0</v>
      </c>
      <c r="J133" s="505">
        <f t="shared" si="38"/>
        <v>0</v>
      </c>
      <c r="K133" s="505"/>
      <c r="L133" s="513"/>
      <c r="M133" s="505">
        <f t="shared" si="39"/>
        <v>0</v>
      </c>
      <c r="N133" s="513"/>
      <c r="O133" s="505">
        <f t="shared" si="40"/>
        <v>0</v>
      </c>
      <c r="P133" s="505">
        <f t="shared" si="41"/>
        <v>0</v>
      </c>
      <c r="Q133" s="244"/>
      <c r="R133" s="244"/>
      <c r="S133" s="244"/>
      <c r="T133" s="244"/>
      <c r="U133" s="244"/>
    </row>
    <row r="134" spans="2:21">
      <c r="B134" s="145" t="str">
        <f t="shared" si="21"/>
        <v/>
      </c>
      <c r="C134" s="496">
        <f>IF(D94="","-",+C133+1)</f>
        <v>2044</v>
      </c>
      <c r="D134" s="350">
        <f>IF(F133+SUM(E$100:E133)=D$93,F133,D$93-SUM(E$100:E133))</f>
        <v>0</v>
      </c>
      <c r="E134" s="510">
        <f>IF(+J97&lt;F133,J97,D134)</f>
        <v>0</v>
      </c>
      <c r="F134" s="511">
        <f t="shared" si="36"/>
        <v>0</v>
      </c>
      <c r="G134" s="511">
        <f t="shared" si="37"/>
        <v>0</v>
      </c>
      <c r="H134" s="646">
        <f t="shared" si="34"/>
        <v>0</v>
      </c>
      <c r="I134" s="573">
        <f t="shared" si="35"/>
        <v>0</v>
      </c>
      <c r="J134" s="505">
        <f t="shared" si="38"/>
        <v>0</v>
      </c>
      <c r="K134" s="505"/>
      <c r="L134" s="513"/>
      <c r="M134" s="505">
        <f t="shared" si="39"/>
        <v>0</v>
      </c>
      <c r="N134" s="513"/>
      <c r="O134" s="505">
        <f t="shared" si="40"/>
        <v>0</v>
      </c>
      <c r="P134" s="505">
        <f t="shared" si="41"/>
        <v>0</v>
      </c>
      <c r="Q134" s="244"/>
      <c r="R134" s="244"/>
      <c r="S134" s="244"/>
      <c r="T134" s="244"/>
      <c r="U134" s="244"/>
    </row>
    <row r="135" spans="2:21">
      <c r="B135" s="145" t="str">
        <f t="shared" si="21"/>
        <v/>
      </c>
      <c r="C135" s="496">
        <f>IF(D94="","-",+C134+1)</f>
        <v>2045</v>
      </c>
      <c r="D135" s="350">
        <f>IF(F134+SUM(E$100:E134)=D$93,F134,D$93-SUM(E$100:E134))</f>
        <v>0</v>
      </c>
      <c r="E135" s="510">
        <f>IF(+J97&lt;F134,J97,D135)</f>
        <v>0</v>
      </c>
      <c r="F135" s="511">
        <f t="shared" si="36"/>
        <v>0</v>
      </c>
      <c r="G135" s="511">
        <f t="shared" si="37"/>
        <v>0</v>
      </c>
      <c r="H135" s="646">
        <f t="shared" si="34"/>
        <v>0</v>
      </c>
      <c r="I135" s="573">
        <f t="shared" si="35"/>
        <v>0</v>
      </c>
      <c r="J135" s="505">
        <f t="shared" si="38"/>
        <v>0</v>
      </c>
      <c r="K135" s="505"/>
      <c r="L135" s="513"/>
      <c r="M135" s="505">
        <f t="shared" si="39"/>
        <v>0</v>
      </c>
      <c r="N135" s="513"/>
      <c r="O135" s="505">
        <f t="shared" si="40"/>
        <v>0</v>
      </c>
      <c r="P135" s="505">
        <f t="shared" si="41"/>
        <v>0</v>
      </c>
      <c r="Q135" s="244"/>
      <c r="R135" s="244"/>
      <c r="S135" s="244"/>
      <c r="T135" s="244"/>
      <c r="U135" s="244"/>
    </row>
    <row r="136" spans="2:21">
      <c r="B136" s="145" t="str">
        <f t="shared" si="21"/>
        <v/>
      </c>
      <c r="C136" s="496">
        <f>IF(D94="","-",+C135+1)</f>
        <v>2046</v>
      </c>
      <c r="D136" s="350">
        <f>IF(F135+SUM(E$100:E135)=D$93,F135,D$93-SUM(E$100:E135))</f>
        <v>0</v>
      </c>
      <c r="E136" s="510">
        <f>IF(+J97&lt;F135,J97,D136)</f>
        <v>0</v>
      </c>
      <c r="F136" s="511">
        <f t="shared" si="36"/>
        <v>0</v>
      </c>
      <c r="G136" s="511">
        <f t="shared" si="37"/>
        <v>0</v>
      </c>
      <c r="H136" s="646">
        <f t="shared" si="34"/>
        <v>0</v>
      </c>
      <c r="I136" s="573">
        <f t="shared" si="35"/>
        <v>0</v>
      </c>
      <c r="J136" s="505">
        <f t="shared" si="38"/>
        <v>0</v>
      </c>
      <c r="K136" s="505"/>
      <c r="L136" s="513"/>
      <c r="M136" s="505">
        <f t="shared" si="39"/>
        <v>0</v>
      </c>
      <c r="N136" s="513"/>
      <c r="O136" s="505">
        <f t="shared" si="40"/>
        <v>0</v>
      </c>
      <c r="P136" s="505">
        <f t="shared" si="41"/>
        <v>0</v>
      </c>
      <c r="Q136" s="244"/>
      <c r="R136" s="244"/>
      <c r="S136" s="244"/>
      <c r="T136" s="244"/>
      <c r="U136" s="244"/>
    </row>
    <row r="137" spans="2:21">
      <c r="B137" s="145" t="str">
        <f t="shared" si="21"/>
        <v/>
      </c>
      <c r="C137" s="496">
        <f>IF(D94="","-",+C136+1)</f>
        <v>2047</v>
      </c>
      <c r="D137" s="350">
        <f>IF(F136+SUM(E$100:E136)=D$93,F136,D$93-SUM(E$100:E136))</f>
        <v>0</v>
      </c>
      <c r="E137" s="510">
        <f>IF(+J97&lt;F136,J97,D137)</f>
        <v>0</v>
      </c>
      <c r="F137" s="511">
        <f t="shared" si="36"/>
        <v>0</v>
      </c>
      <c r="G137" s="511">
        <f t="shared" si="37"/>
        <v>0</v>
      </c>
      <c r="H137" s="646">
        <f t="shared" si="34"/>
        <v>0</v>
      </c>
      <c r="I137" s="573">
        <f t="shared" si="35"/>
        <v>0</v>
      </c>
      <c r="J137" s="505">
        <f t="shared" si="38"/>
        <v>0</v>
      </c>
      <c r="K137" s="505"/>
      <c r="L137" s="513"/>
      <c r="M137" s="505">
        <f t="shared" si="39"/>
        <v>0</v>
      </c>
      <c r="N137" s="513"/>
      <c r="O137" s="505">
        <f t="shared" si="40"/>
        <v>0</v>
      </c>
      <c r="P137" s="505">
        <f t="shared" si="41"/>
        <v>0</v>
      </c>
      <c r="Q137" s="244"/>
      <c r="R137" s="244"/>
      <c r="S137" s="244"/>
      <c r="T137" s="244"/>
      <c r="U137" s="244"/>
    </row>
    <row r="138" spans="2:21">
      <c r="B138" s="145" t="str">
        <f t="shared" si="21"/>
        <v/>
      </c>
      <c r="C138" s="496">
        <f>IF(D94="","-",+C137+1)</f>
        <v>2048</v>
      </c>
      <c r="D138" s="350">
        <f>IF(F137+SUM(E$100:E137)=D$93,F137,D$93-SUM(E$100:E137))</f>
        <v>0</v>
      </c>
      <c r="E138" s="510">
        <f>IF(+J97&lt;F137,J97,D138)</f>
        <v>0</v>
      </c>
      <c r="F138" s="511">
        <f t="shared" si="36"/>
        <v>0</v>
      </c>
      <c r="G138" s="511">
        <f t="shared" si="37"/>
        <v>0</v>
      </c>
      <c r="H138" s="646">
        <f t="shared" si="34"/>
        <v>0</v>
      </c>
      <c r="I138" s="573">
        <f t="shared" si="35"/>
        <v>0</v>
      </c>
      <c r="J138" s="505">
        <f t="shared" si="38"/>
        <v>0</v>
      </c>
      <c r="K138" s="505"/>
      <c r="L138" s="513"/>
      <c r="M138" s="505">
        <f t="shared" si="39"/>
        <v>0</v>
      </c>
      <c r="N138" s="513"/>
      <c r="O138" s="505">
        <f t="shared" si="40"/>
        <v>0</v>
      </c>
      <c r="P138" s="505">
        <f t="shared" si="41"/>
        <v>0</v>
      </c>
      <c r="Q138" s="244"/>
      <c r="R138" s="244"/>
      <c r="S138" s="244"/>
      <c r="T138" s="244"/>
      <c r="U138" s="244"/>
    </row>
    <row r="139" spans="2:21">
      <c r="B139" s="145" t="str">
        <f t="shared" si="21"/>
        <v/>
      </c>
      <c r="C139" s="496">
        <f>IF(D94="","-",+C138+1)</f>
        <v>2049</v>
      </c>
      <c r="D139" s="350">
        <f>IF(F138+SUM(E$100:E138)=D$93,F138,D$93-SUM(E$100:E138))</f>
        <v>0</v>
      </c>
      <c r="E139" s="510">
        <f>IF(+J97&lt;F138,J97,D139)</f>
        <v>0</v>
      </c>
      <c r="F139" s="511">
        <f t="shared" si="36"/>
        <v>0</v>
      </c>
      <c r="G139" s="511">
        <f t="shared" si="37"/>
        <v>0</v>
      </c>
      <c r="H139" s="646">
        <f t="shared" si="34"/>
        <v>0</v>
      </c>
      <c r="I139" s="573">
        <f t="shared" si="35"/>
        <v>0</v>
      </c>
      <c r="J139" s="505">
        <f t="shared" si="38"/>
        <v>0</v>
      </c>
      <c r="K139" s="505"/>
      <c r="L139" s="513"/>
      <c r="M139" s="505">
        <f t="shared" si="39"/>
        <v>0</v>
      </c>
      <c r="N139" s="513"/>
      <c r="O139" s="505">
        <f t="shared" si="40"/>
        <v>0</v>
      </c>
      <c r="P139" s="505">
        <f t="shared" si="41"/>
        <v>0</v>
      </c>
      <c r="Q139" s="244"/>
      <c r="R139" s="244"/>
      <c r="S139" s="244"/>
      <c r="T139" s="244"/>
      <c r="U139" s="244"/>
    </row>
    <row r="140" spans="2:21">
      <c r="B140" s="145" t="str">
        <f t="shared" si="21"/>
        <v/>
      </c>
      <c r="C140" s="496">
        <f>IF(D94="","-",+C139+1)</f>
        <v>2050</v>
      </c>
      <c r="D140" s="350">
        <f>IF(F139+SUM(E$100:E139)=D$93,F139,D$93-SUM(E$100:E139))</f>
        <v>0</v>
      </c>
      <c r="E140" s="510">
        <f>IF(+J97&lt;F139,J97,D140)</f>
        <v>0</v>
      </c>
      <c r="F140" s="511">
        <f t="shared" si="36"/>
        <v>0</v>
      </c>
      <c r="G140" s="511">
        <f t="shared" si="37"/>
        <v>0</v>
      </c>
      <c r="H140" s="646">
        <f t="shared" si="34"/>
        <v>0</v>
      </c>
      <c r="I140" s="573">
        <f t="shared" si="35"/>
        <v>0</v>
      </c>
      <c r="J140" s="505">
        <f t="shared" si="38"/>
        <v>0</v>
      </c>
      <c r="K140" s="505"/>
      <c r="L140" s="513"/>
      <c r="M140" s="505">
        <f t="shared" si="39"/>
        <v>0</v>
      </c>
      <c r="N140" s="513"/>
      <c r="O140" s="505">
        <f t="shared" si="40"/>
        <v>0</v>
      </c>
      <c r="P140" s="505">
        <f t="shared" si="41"/>
        <v>0</v>
      </c>
      <c r="Q140" s="244"/>
      <c r="R140" s="244"/>
      <c r="S140" s="244"/>
      <c r="T140" s="244"/>
      <c r="U140" s="244"/>
    </row>
    <row r="141" spans="2:21">
      <c r="B141" s="145" t="str">
        <f t="shared" si="21"/>
        <v/>
      </c>
      <c r="C141" s="496">
        <f>IF(D94="","-",+C140+1)</f>
        <v>2051</v>
      </c>
      <c r="D141" s="350">
        <f>IF(F140+SUM(E$100:E140)=D$93,F140,D$93-SUM(E$100:E140))</f>
        <v>0</v>
      </c>
      <c r="E141" s="510">
        <f>IF(+J97&lt;F140,J97,D141)</f>
        <v>0</v>
      </c>
      <c r="F141" s="511">
        <f t="shared" si="36"/>
        <v>0</v>
      </c>
      <c r="G141" s="511">
        <f t="shared" si="37"/>
        <v>0</v>
      </c>
      <c r="H141" s="646">
        <f t="shared" si="34"/>
        <v>0</v>
      </c>
      <c r="I141" s="573">
        <f t="shared" si="35"/>
        <v>0</v>
      </c>
      <c r="J141" s="505">
        <f t="shared" si="38"/>
        <v>0</v>
      </c>
      <c r="K141" s="505"/>
      <c r="L141" s="513"/>
      <c r="M141" s="505">
        <f t="shared" si="39"/>
        <v>0</v>
      </c>
      <c r="N141" s="513"/>
      <c r="O141" s="505">
        <f t="shared" si="40"/>
        <v>0</v>
      </c>
      <c r="P141" s="505">
        <f t="shared" si="41"/>
        <v>0</v>
      </c>
      <c r="Q141" s="244"/>
      <c r="R141" s="244"/>
      <c r="S141" s="244"/>
      <c r="T141" s="244"/>
      <c r="U141" s="244"/>
    </row>
    <row r="142" spans="2:21">
      <c r="B142" s="145" t="str">
        <f t="shared" si="21"/>
        <v/>
      </c>
      <c r="C142" s="496">
        <f>IF(D94="","-",+C141+1)</f>
        <v>2052</v>
      </c>
      <c r="D142" s="350">
        <f>IF(F141+SUM(E$100:E141)=D$93,F141,D$93-SUM(E$100:E141))</f>
        <v>0</v>
      </c>
      <c r="E142" s="510">
        <f>IF(+J97&lt;F141,J97,D142)</f>
        <v>0</v>
      </c>
      <c r="F142" s="511">
        <f t="shared" si="36"/>
        <v>0</v>
      </c>
      <c r="G142" s="511">
        <f t="shared" si="37"/>
        <v>0</v>
      </c>
      <c r="H142" s="646">
        <f t="shared" si="34"/>
        <v>0</v>
      </c>
      <c r="I142" s="573">
        <f t="shared" si="35"/>
        <v>0</v>
      </c>
      <c r="J142" s="505">
        <f t="shared" si="38"/>
        <v>0</v>
      </c>
      <c r="K142" s="505"/>
      <c r="L142" s="513"/>
      <c r="M142" s="505">
        <f t="shared" si="39"/>
        <v>0</v>
      </c>
      <c r="N142" s="513"/>
      <c r="O142" s="505">
        <f t="shared" si="40"/>
        <v>0</v>
      </c>
      <c r="P142" s="505">
        <f t="shared" si="41"/>
        <v>0</v>
      </c>
      <c r="Q142" s="244"/>
      <c r="R142" s="244"/>
      <c r="S142" s="244"/>
      <c r="T142" s="244"/>
      <c r="U142" s="244"/>
    </row>
    <row r="143" spans="2:21">
      <c r="B143" s="145" t="str">
        <f t="shared" si="21"/>
        <v/>
      </c>
      <c r="C143" s="496">
        <f>IF(D94="","-",+C142+1)</f>
        <v>2053</v>
      </c>
      <c r="D143" s="350">
        <f>IF(F142+SUM(E$100:E142)=D$93,F142,D$93-SUM(E$100:E142))</f>
        <v>0</v>
      </c>
      <c r="E143" s="510">
        <f>IF(+J97&lt;F142,J97,D143)</f>
        <v>0</v>
      </c>
      <c r="F143" s="511">
        <f t="shared" si="36"/>
        <v>0</v>
      </c>
      <c r="G143" s="511">
        <f t="shared" si="37"/>
        <v>0</v>
      </c>
      <c r="H143" s="646">
        <f t="shared" si="34"/>
        <v>0</v>
      </c>
      <c r="I143" s="573">
        <f t="shared" si="35"/>
        <v>0</v>
      </c>
      <c r="J143" s="505">
        <f t="shared" si="38"/>
        <v>0</v>
      </c>
      <c r="K143" s="505"/>
      <c r="L143" s="513"/>
      <c r="M143" s="505">
        <f t="shared" si="39"/>
        <v>0</v>
      </c>
      <c r="N143" s="513"/>
      <c r="O143" s="505">
        <f t="shared" si="40"/>
        <v>0</v>
      </c>
      <c r="P143" s="505">
        <f t="shared" si="41"/>
        <v>0</v>
      </c>
      <c r="Q143" s="244"/>
      <c r="R143" s="244"/>
      <c r="S143" s="244"/>
      <c r="T143" s="244"/>
      <c r="U143" s="244"/>
    </row>
    <row r="144" spans="2:21">
      <c r="B144" s="145" t="str">
        <f t="shared" si="21"/>
        <v/>
      </c>
      <c r="C144" s="496">
        <f>IF(D94="","-",+C143+1)</f>
        <v>2054</v>
      </c>
      <c r="D144" s="350">
        <f>IF(F143+SUM(E$100:E143)=D$93,F143,D$93-SUM(E$100:E143))</f>
        <v>0</v>
      </c>
      <c r="E144" s="510">
        <f>IF(+J97&lt;F143,J97,D144)</f>
        <v>0</v>
      </c>
      <c r="F144" s="511">
        <f t="shared" si="36"/>
        <v>0</v>
      </c>
      <c r="G144" s="511">
        <f t="shared" si="37"/>
        <v>0</v>
      </c>
      <c r="H144" s="646">
        <f t="shared" si="34"/>
        <v>0</v>
      </c>
      <c r="I144" s="573">
        <f t="shared" si="35"/>
        <v>0</v>
      </c>
      <c r="J144" s="505">
        <f t="shared" si="38"/>
        <v>0</v>
      </c>
      <c r="K144" s="505"/>
      <c r="L144" s="513"/>
      <c r="M144" s="505">
        <f t="shared" si="39"/>
        <v>0</v>
      </c>
      <c r="N144" s="513"/>
      <c r="O144" s="505">
        <f t="shared" si="40"/>
        <v>0</v>
      </c>
      <c r="P144" s="505">
        <f t="shared" si="41"/>
        <v>0</v>
      </c>
      <c r="Q144" s="244"/>
      <c r="R144" s="244"/>
      <c r="S144" s="244"/>
      <c r="T144" s="244"/>
      <c r="U144" s="244"/>
    </row>
    <row r="145" spans="2:21">
      <c r="B145" s="145" t="str">
        <f t="shared" si="21"/>
        <v/>
      </c>
      <c r="C145" s="496">
        <f>IF(D94="","-",+C144+1)</f>
        <v>2055</v>
      </c>
      <c r="D145" s="350">
        <f>IF(F144+SUM(E$100:E144)=D$93,F144,D$93-SUM(E$100:E144))</f>
        <v>0</v>
      </c>
      <c r="E145" s="510">
        <f>IF(+J97&lt;F144,J97,D145)</f>
        <v>0</v>
      </c>
      <c r="F145" s="511">
        <f t="shared" si="36"/>
        <v>0</v>
      </c>
      <c r="G145" s="511">
        <f t="shared" si="37"/>
        <v>0</v>
      </c>
      <c r="H145" s="646">
        <f t="shared" si="34"/>
        <v>0</v>
      </c>
      <c r="I145" s="573">
        <f t="shared" si="35"/>
        <v>0</v>
      </c>
      <c r="J145" s="505">
        <f t="shared" si="38"/>
        <v>0</v>
      </c>
      <c r="K145" s="505"/>
      <c r="L145" s="513"/>
      <c r="M145" s="505">
        <f t="shared" si="39"/>
        <v>0</v>
      </c>
      <c r="N145" s="513"/>
      <c r="O145" s="505">
        <f t="shared" si="40"/>
        <v>0</v>
      </c>
      <c r="P145" s="505">
        <f t="shared" si="41"/>
        <v>0</v>
      </c>
      <c r="Q145" s="244"/>
      <c r="R145" s="244"/>
      <c r="S145" s="244"/>
      <c r="T145" s="244"/>
      <c r="U145" s="244"/>
    </row>
    <row r="146" spans="2:21">
      <c r="B146" s="145" t="str">
        <f t="shared" si="21"/>
        <v/>
      </c>
      <c r="C146" s="496">
        <f>IF(D94="","-",+C145+1)</f>
        <v>2056</v>
      </c>
      <c r="D146" s="350">
        <f>IF(F145+SUM(E$100:E145)=D$93,F145,D$93-SUM(E$100:E145))</f>
        <v>0</v>
      </c>
      <c r="E146" s="510">
        <f>IF(+J97&lt;F145,J97,D146)</f>
        <v>0</v>
      </c>
      <c r="F146" s="511">
        <f t="shared" si="36"/>
        <v>0</v>
      </c>
      <c r="G146" s="511">
        <f t="shared" si="37"/>
        <v>0</v>
      </c>
      <c r="H146" s="646">
        <f t="shared" si="34"/>
        <v>0</v>
      </c>
      <c r="I146" s="573">
        <f t="shared" si="35"/>
        <v>0</v>
      </c>
      <c r="J146" s="505">
        <f t="shared" si="38"/>
        <v>0</v>
      </c>
      <c r="K146" s="505"/>
      <c r="L146" s="513"/>
      <c r="M146" s="505">
        <f t="shared" si="39"/>
        <v>0</v>
      </c>
      <c r="N146" s="513"/>
      <c r="O146" s="505">
        <f t="shared" si="40"/>
        <v>0</v>
      </c>
      <c r="P146" s="505">
        <f t="shared" si="41"/>
        <v>0</v>
      </c>
      <c r="Q146" s="244"/>
      <c r="R146" s="244"/>
      <c r="S146" s="244"/>
      <c r="T146" s="244"/>
      <c r="U146" s="244"/>
    </row>
    <row r="147" spans="2:21">
      <c r="B147" s="145" t="str">
        <f t="shared" si="21"/>
        <v/>
      </c>
      <c r="C147" s="496">
        <f>IF(D94="","-",+C146+1)</f>
        <v>2057</v>
      </c>
      <c r="D147" s="350">
        <f>IF(F146+SUM(E$100:E146)=D$93,F146,D$93-SUM(E$100:E146))</f>
        <v>0</v>
      </c>
      <c r="E147" s="510">
        <f>IF(+J97&lt;F146,J97,D147)</f>
        <v>0</v>
      </c>
      <c r="F147" s="511">
        <f t="shared" si="36"/>
        <v>0</v>
      </c>
      <c r="G147" s="511">
        <f t="shared" si="37"/>
        <v>0</v>
      </c>
      <c r="H147" s="646">
        <f t="shared" si="34"/>
        <v>0</v>
      </c>
      <c r="I147" s="573">
        <f t="shared" si="35"/>
        <v>0</v>
      </c>
      <c r="J147" s="505">
        <f t="shared" si="38"/>
        <v>0</v>
      </c>
      <c r="K147" s="505"/>
      <c r="L147" s="513"/>
      <c r="M147" s="505">
        <f t="shared" si="39"/>
        <v>0</v>
      </c>
      <c r="N147" s="513"/>
      <c r="O147" s="505">
        <f t="shared" si="40"/>
        <v>0</v>
      </c>
      <c r="P147" s="505">
        <f t="shared" si="41"/>
        <v>0</v>
      </c>
      <c r="Q147" s="244"/>
      <c r="R147" s="244"/>
      <c r="S147" s="244"/>
      <c r="T147" s="244"/>
      <c r="U147" s="244"/>
    </row>
    <row r="148" spans="2:21">
      <c r="B148" s="145" t="str">
        <f t="shared" si="21"/>
        <v/>
      </c>
      <c r="C148" s="496">
        <f>IF(D94="","-",+C147+1)</f>
        <v>2058</v>
      </c>
      <c r="D148" s="350">
        <f>IF(F147+SUM(E$100:E147)=D$93,F147,D$93-SUM(E$100:E147))</f>
        <v>0</v>
      </c>
      <c r="E148" s="510">
        <f>IF(+J97&lt;F147,J97,D148)</f>
        <v>0</v>
      </c>
      <c r="F148" s="511">
        <f t="shared" si="36"/>
        <v>0</v>
      </c>
      <c r="G148" s="511">
        <f t="shared" si="37"/>
        <v>0</v>
      </c>
      <c r="H148" s="646">
        <f t="shared" si="34"/>
        <v>0</v>
      </c>
      <c r="I148" s="573">
        <f t="shared" si="35"/>
        <v>0</v>
      </c>
      <c r="J148" s="505">
        <f t="shared" si="38"/>
        <v>0</v>
      </c>
      <c r="K148" s="505"/>
      <c r="L148" s="513"/>
      <c r="M148" s="505">
        <f t="shared" si="39"/>
        <v>0</v>
      </c>
      <c r="N148" s="513"/>
      <c r="O148" s="505">
        <f t="shared" si="40"/>
        <v>0</v>
      </c>
      <c r="P148" s="505">
        <f t="shared" si="41"/>
        <v>0</v>
      </c>
      <c r="Q148" s="244"/>
      <c r="R148" s="244"/>
      <c r="S148" s="244"/>
      <c r="T148" s="244"/>
      <c r="U148" s="244"/>
    </row>
    <row r="149" spans="2:21">
      <c r="B149" s="145" t="str">
        <f t="shared" si="21"/>
        <v/>
      </c>
      <c r="C149" s="496">
        <f>IF(D94="","-",+C148+1)</f>
        <v>2059</v>
      </c>
      <c r="D149" s="350">
        <f>IF(F148+SUM(E$100:E148)=D$93,F148,D$93-SUM(E$100:E148))</f>
        <v>0</v>
      </c>
      <c r="E149" s="510">
        <f>IF(+J97&lt;F148,J97,D149)</f>
        <v>0</v>
      </c>
      <c r="F149" s="511">
        <f t="shared" si="36"/>
        <v>0</v>
      </c>
      <c r="G149" s="511">
        <f t="shared" si="37"/>
        <v>0</v>
      </c>
      <c r="H149" s="646">
        <f t="shared" si="34"/>
        <v>0</v>
      </c>
      <c r="I149" s="573">
        <f t="shared" si="35"/>
        <v>0</v>
      </c>
      <c r="J149" s="505">
        <f t="shared" si="38"/>
        <v>0</v>
      </c>
      <c r="K149" s="505"/>
      <c r="L149" s="513"/>
      <c r="M149" s="505">
        <f t="shared" si="39"/>
        <v>0</v>
      </c>
      <c r="N149" s="513"/>
      <c r="O149" s="505">
        <f t="shared" si="40"/>
        <v>0</v>
      </c>
      <c r="P149" s="505">
        <f t="shared" si="41"/>
        <v>0</v>
      </c>
      <c r="Q149" s="244"/>
      <c r="R149" s="244"/>
      <c r="S149" s="244"/>
      <c r="T149" s="244"/>
      <c r="U149" s="244"/>
    </row>
    <row r="150" spans="2:21">
      <c r="B150" s="145" t="str">
        <f t="shared" si="21"/>
        <v/>
      </c>
      <c r="C150" s="496">
        <f>IF(D94="","-",+C149+1)</f>
        <v>2060</v>
      </c>
      <c r="D150" s="350">
        <f>IF(F149+SUM(E$100:E149)=D$93,F149,D$93-SUM(E$100:E149))</f>
        <v>0</v>
      </c>
      <c r="E150" s="510">
        <f>IF(+J97&lt;F149,J97,D150)</f>
        <v>0</v>
      </c>
      <c r="F150" s="511">
        <f t="shared" si="36"/>
        <v>0</v>
      </c>
      <c r="G150" s="511">
        <f t="shared" si="37"/>
        <v>0</v>
      </c>
      <c r="H150" s="646">
        <f t="shared" si="34"/>
        <v>0</v>
      </c>
      <c r="I150" s="573">
        <f t="shared" si="35"/>
        <v>0</v>
      </c>
      <c r="J150" s="505">
        <f t="shared" si="38"/>
        <v>0</v>
      </c>
      <c r="K150" s="505"/>
      <c r="L150" s="513"/>
      <c r="M150" s="505">
        <f t="shared" si="39"/>
        <v>0</v>
      </c>
      <c r="N150" s="513"/>
      <c r="O150" s="505">
        <f t="shared" si="40"/>
        <v>0</v>
      </c>
      <c r="P150" s="505">
        <f t="shared" si="41"/>
        <v>0</v>
      </c>
      <c r="Q150" s="244"/>
      <c r="R150" s="244"/>
      <c r="S150" s="244"/>
      <c r="T150" s="244"/>
      <c r="U150" s="244"/>
    </row>
    <row r="151" spans="2:21">
      <c r="B151" s="145" t="str">
        <f t="shared" si="21"/>
        <v/>
      </c>
      <c r="C151" s="496">
        <f>IF(D94="","-",+C150+1)</f>
        <v>2061</v>
      </c>
      <c r="D151" s="350">
        <f>IF(F150+SUM(E$100:E150)=D$93,F150,D$93-SUM(E$100:E150))</f>
        <v>0</v>
      </c>
      <c r="E151" s="510">
        <f>IF(+J97&lt;F150,J97,D151)</f>
        <v>0</v>
      </c>
      <c r="F151" s="511">
        <f t="shared" si="36"/>
        <v>0</v>
      </c>
      <c r="G151" s="511">
        <f t="shared" si="37"/>
        <v>0</v>
      </c>
      <c r="H151" s="646">
        <f t="shared" si="34"/>
        <v>0</v>
      </c>
      <c r="I151" s="573">
        <f t="shared" si="35"/>
        <v>0</v>
      </c>
      <c r="J151" s="505">
        <f t="shared" si="38"/>
        <v>0</v>
      </c>
      <c r="K151" s="505"/>
      <c r="L151" s="513"/>
      <c r="M151" s="505">
        <f t="shared" si="39"/>
        <v>0</v>
      </c>
      <c r="N151" s="513"/>
      <c r="O151" s="505">
        <f t="shared" si="40"/>
        <v>0</v>
      </c>
      <c r="P151" s="505">
        <f t="shared" si="41"/>
        <v>0</v>
      </c>
      <c r="Q151" s="244"/>
      <c r="R151" s="244"/>
      <c r="S151" s="244"/>
      <c r="T151" s="244"/>
      <c r="U151" s="244"/>
    </row>
    <row r="152" spans="2:21">
      <c r="B152" s="145" t="str">
        <f t="shared" si="21"/>
        <v/>
      </c>
      <c r="C152" s="496">
        <f>IF(D94="","-",+C151+1)</f>
        <v>2062</v>
      </c>
      <c r="D152" s="350">
        <f>IF(F151+SUM(E$100:E151)=D$93,F151,D$93-SUM(E$100:E151))</f>
        <v>0</v>
      </c>
      <c r="E152" s="510">
        <f>IF(+J97&lt;F151,J97,D152)</f>
        <v>0</v>
      </c>
      <c r="F152" s="511">
        <f t="shared" si="36"/>
        <v>0</v>
      </c>
      <c r="G152" s="511">
        <f t="shared" si="37"/>
        <v>0</v>
      </c>
      <c r="H152" s="646">
        <f t="shared" si="34"/>
        <v>0</v>
      </c>
      <c r="I152" s="573">
        <f t="shared" si="35"/>
        <v>0</v>
      </c>
      <c r="J152" s="505">
        <f t="shared" si="38"/>
        <v>0</v>
      </c>
      <c r="K152" s="505"/>
      <c r="L152" s="513"/>
      <c r="M152" s="505">
        <f t="shared" si="39"/>
        <v>0</v>
      </c>
      <c r="N152" s="513"/>
      <c r="O152" s="505">
        <f t="shared" si="40"/>
        <v>0</v>
      </c>
      <c r="P152" s="505">
        <f t="shared" si="41"/>
        <v>0</v>
      </c>
      <c r="Q152" s="244"/>
      <c r="R152" s="244"/>
      <c r="S152" s="244"/>
      <c r="T152" s="244"/>
      <c r="U152" s="244"/>
    </row>
    <row r="153" spans="2:21">
      <c r="B153" s="145" t="str">
        <f t="shared" si="21"/>
        <v/>
      </c>
      <c r="C153" s="496">
        <f>IF(D94="","-",+C152+1)</f>
        <v>2063</v>
      </c>
      <c r="D153" s="350">
        <f>IF(F152+SUM(E$100:E152)=D$93,F152,D$93-SUM(E$100:E152))</f>
        <v>0</v>
      </c>
      <c r="E153" s="510">
        <f>IF(+J97&lt;F152,J97,D153)</f>
        <v>0</v>
      </c>
      <c r="F153" s="511">
        <f t="shared" si="36"/>
        <v>0</v>
      </c>
      <c r="G153" s="511">
        <f t="shared" si="37"/>
        <v>0</v>
      </c>
      <c r="H153" s="646">
        <f t="shared" si="34"/>
        <v>0</v>
      </c>
      <c r="I153" s="573">
        <f t="shared" si="35"/>
        <v>0</v>
      </c>
      <c r="J153" s="505">
        <f t="shared" si="38"/>
        <v>0</v>
      </c>
      <c r="K153" s="505"/>
      <c r="L153" s="513"/>
      <c r="M153" s="505">
        <f t="shared" si="39"/>
        <v>0</v>
      </c>
      <c r="N153" s="513"/>
      <c r="O153" s="505">
        <f t="shared" si="40"/>
        <v>0</v>
      </c>
      <c r="P153" s="505">
        <f t="shared" si="41"/>
        <v>0</v>
      </c>
      <c r="Q153" s="244"/>
      <c r="R153" s="244"/>
      <c r="S153" s="244"/>
      <c r="T153" s="244"/>
      <c r="U153" s="244"/>
    </row>
    <row r="154" spans="2:21">
      <c r="B154" s="145" t="str">
        <f t="shared" si="21"/>
        <v/>
      </c>
      <c r="C154" s="496">
        <f>IF(D94="","-",+C153+1)</f>
        <v>2064</v>
      </c>
      <c r="D154" s="350">
        <f>IF(F153+SUM(E$100:E153)=D$93,F153,D$93-SUM(E$100:E153))</f>
        <v>0</v>
      </c>
      <c r="E154" s="510">
        <f>IF(+J97&lt;F153,J97,D154)</f>
        <v>0</v>
      </c>
      <c r="F154" s="511">
        <f t="shared" si="36"/>
        <v>0</v>
      </c>
      <c r="G154" s="511">
        <f t="shared" si="37"/>
        <v>0</v>
      </c>
      <c r="H154" s="646">
        <f t="shared" si="34"/>
        <v>0</v>
      </c>
      <c r="I154" s="573">
        <f t="shared" si="35"/>
        <v>0</v>
      </c>
      <c r="J154" s="505">
        <f t="shared" si="38"/>
        <v>0</v>
      </c>
      <c r="K154" s="505"/>
      <c r="L154" s="513"/>
      <c r="M154" s="505">
        <f t="shared" si="39"/>
        <v>0</v>
      </c>
      <c r="N154" s="513"/>
      <c r="O154" s="505">
        <f t="shared" si="40"/>
        <v>0</v>
      </c>
      <c r="P154" s="505">
        <f t="shared" si="41"/>
        <v>0</v>
      </c>
      <c r="Q154" s="244"/>
      <c r="R154" s="244"/>
      <c r="S154" s="244"/>
      <c r="T154" s="244"/>
      <c r="U154" s="244"/>
    </row>
    <row r="155" spans="2:21" ht="13.5" thickBot="1">
      <c r="B155" s="145" t="str">
        <f t="shared" si="21"/>
        <v/>
      </c>
      <c r="C155" s="525">
        <f>IF(D94="","-",+C154+1)</f>
        <v>2065</v>
      </c>
      <c r="D155" s="528">
        <f>IF(F154+SUM(E$100:E154)=D$93,F154,D$93-SUM(E$100:E154))</f>
        <v>0</v>
      </c>
      <c r="E155" s="527">
        <f>IF(+J97&lt;F154,J97,D155)</f>
        <v>0</v>
      </c>
      <c r="F155" s="528">
        <f t="shared" si="36"/>
        <v>0</v>
      </c>
      <c r="G155" s="528">
        <f t="shared" si="37"/>
        <v>0</v>
      </c>
      <c r="H155" s="646">
        <f t="shared" si="34"/>
        <v>0</v>
      </c>
      <c r="I155" s="574">
        <f t="shared" si="35"/>
        <v>0</v>
      </c>
      <c r="J155" s="532">
        <f t="shared" si="38"/>
        <v>0</v>
      </c>
      <c r="K155" s="505"/>
      <c r="L155" s="531"/>
      <c r="M155" s="532">
        <f t="shared" si="39"/>
        <v>0</v>
      </c>
      <c r="N155" s="531"/>
      <c r="O155" s="532">
        <f t="shared" si="40"/>
        <v>0</v>
      </c>
      <c r="P155" s="532">
        <f t="shared" si="41"/>
        <v>0</v>
      </c>
      <c r="Q155" s="244"/>
      <c r="R155" s="244"/>
      <c r="S155" s="244"/>
      <c r="T155" s="244"/>
      <c r="U155" s="244"/>
    </row>
    <row r="156" spans="2:21">
      <c r="C156" s="350" t="s">
        <v>75</v>
      </c>
      <c r="D156" s="295"/>
      <c r="E156" s="295">
        <f>SUM(E100:E155)</f>
        <v>985777.33999999985</v>
      </c>
      <c r="F156" s="295"/>
      <c r="G156" s="295"/>
      <c r="H156" s="295">
        <f>SUM(H100:H155)</f>
        <v>2927691.0910016145</v>
      </c>
      <c r="I156" s="295">
        <f>SUM(I100:I155)</f>
        <v>2927691.0910016145</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8" priority="1" stopIfTrue="1" operator="equal">
      <formula>$I$10</formula>
    </cfRule>
  </conditionalFormatting>
  <conditionalFormatting sqref="C100:C155">
    <cfRule type="cellIs" dxfId="47"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dimension ref="A1:U163"/>
  <sheetViews>
    <sheetView zoomScaleNormal="100" zoomScaleSheetLayoutView="85"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8.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3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71183.123031214564</v>
      </c>
      <c r="P5" s="244"/>
      <c r="R5" s="244"/>
      <c r="S5" s="244"/>
      <c r="T5" s="244"/>
      <c r="U5" s="244"/>
    </row>
    <row r="6" spans="1:21" ht="15.75">
      <c r="C6" s="236"/>
      <c r="D6" s="293"/>
      <c r="E6" s="244"/>
      <c r="F6" s="244"/>
      <c r="G6" s="244"/>
      <c r="H6" s="450"/>
      <c r="I6" s="450"/>
      <c r="J6" s="451"/>
      <c r="K6" s="452" t="s">
        <v>243</v>
      </c>
      <c r="L6" s="453"/>
      <c r="M6" s="279"/>
      <c r="N6" s="454">
        <f>VLOOKUP(I10,C17:I73,6)</f>
        <v>71183.123031214564</v>
      </c>
      <c r="O6" s="244"/>
      <c r="P6" s="244"/>
      <c r="R6" s="244"/>
      <c r="S6" s="244"/>
      <c r="T6" s="244"/>
      <c r="U6" s="244"/>
    </row>
    <row r="7" spans="1:21" ht="13.5" thickBot="1">
      <c r="C7" s="455" t="s">
        <v>46</v>
      </c>
      <c r="D7" s="456" t="s">
        <v>199</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198</v>
      </c>
      <c r="E9" s="466"/>
      <c r="F9" s="466"/>
      <c r="G9" s="466"/>
      <c r="H9" s="466"/>
      <c r="I9" s="467"/>
      <c r="J9" s="468"/>
      <c r="O9" s="469"/>
      <c r="P9" s="279"/>
      <c r="R9" s="244"/>
      <c r="S9" s="244"/>
      <c r="T9" s="244"/>
      <c r="U9" s="244"/>
    </row>
    <row r="10" spans="1:21">
      <c r="C10" s="470" t="s">
        <v>49</v>
      </c>
      <c r="D10" s="471">
        <v>614753</v>
      </c>
      <c r="E10" s="300" t="s">
        <v>50</v>
      </c>
      <c r="F10" s="469"/>
      <c r="G10" s="409"/>
      <c r="H10" s="409"/>
      <c r="I10" s="472">
        <f>+'OKT.WS.F.BPU.ATRR.Projected'!R100</f>
        <v>2020</v>
      </c>
      <c r="J10" s="468"/>
      <c r="K10" s="295" t="s">
        <v>51</v>
      </c>
      <c r="O10" s="279"/>
      <c r="P10" s="279"/>
      <c r="R10" s="244"/>
      <c r="S10" s="244"/>
      <c r="T10" s="244"/>
      <c r="U10" s="244"/>
    </row>
    <row r="11" spans="1:21">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10</v>
      </c>
      <c r="E12" s="473" t="s">
        <v>55</v>
      </c>
      <c r="F12" s="409"/>
      <c r="G12" s="221"/>
      <c r="H12" s="221"/>
      <c r="I12" s="477">
        <f>'OKT.WS.F.BPU.ATRR.Projected'!$F$78</f>
        <v>0.1064171487591708</v>
      </c>
      <c r="J12" s="579"/>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18080.970588235294</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49" si="0">IF(D17=F16,"","IU")</f>
        <v>IU</v>
      </c>
      <c r="C17" s="581">
        <f>IF(D11= "","-",D11)</f>
        <v>2011</v>
      </c>
      <c r="D17" s="497">
        <v>956000</v>
      </c>
      <c r="E17" s="498">
        <v>1378.1704053213118</v>
      </c>
      <c r="F17" s="497">
        <v>954621.82959467871</v>
      </c>
      <c r="G17" s="499">
        <v>125484.70184654166</v>
      </c>
      <c r="H17" s="500">
        <v>125484.70184654166</v>
      </c>
      <c r="I17" s="585">
        <f>H17-G17</f>
        <v>0</v>
      </c>
      <c r="J17" s="351"/>
      <c r="K17" s="507">
        <f t="shared" ref="K17:K22" si="1">G17</f>
        <v>125484.70184654166</v>
      </c>
      <c r="L17" s="586">
        <f t="shared" ref="L17:L49" si="2">IF(K17&lt;&gt;0,+G17-K17,0)</f>
        <v>0</v>
      </c>
      <c r="M17" s="507">
        <f t="shared" ref="M17:M22" si="3">H17</f>
        <v>125484.70184654166</v>
      </c>
      <c r="N17" s="587">
        <f t="shared" ref="N17:N49" si="4">IF(M17&lt;&gt;0,+H17-M17,0)</f>
        <v>0</v>
      </c>
      <c r="O17" s="505">
        <f t="shared" ref="O17:O49" si="5">+N17-L17</f>
        <v>0</v>
      </c>
      <c r="P17" s="279"/>
      <c r="R17" s="244"/>
      <c r="S17" s="244"/>
      <c r="T17" s="244"/>
      <c r="U17" s="244"/>
    </row>
    <row r="18" spans="2:21">
      <c r="B18" s="145" t="str">
        <f t="shared" si="0"/>
        <v/>
      </c>
      <c r="C18" s="496">
        <f>IF(D11="","-",+C17+1)</f>
        <v>2012</v>
      </c>
      <c r="D18" s="506">
        <v>954621.82959467871</v>
      </c>
      <c r="E18" s="499">
        <v>10633.668760887396</v>
      </c>
      <c r="F18" s="506">
        <v>943988.16083379136</v>
      </c>
      <c r="G18" s="499">
        <v>101867.32341201812</v>
      </c>
      <c r="H18" s="500">
        <v>101867.32341201812</v>
      </c>
      <c r="I18" s="501">
        <v>0</v>
      </c>
      <c r="J18" s="351"/>
      <c r="K18" s="507">
        <f t="shared" si="1"/>
        <v>101867.32341201812</v>
      </c>
      <c r="L18" s="351">
        <f t="shared" si="2"/>
        <v>0</v>
      </c>
      <c r="M18" s="507">
        <f t="shared" si="3"/>
        <v>101867.32341201812</v>
      </c>
      <c r="N18" s="501">
        <f t="shared" si="4"/>
        <v>0</v>
      </c>
      <c r="O18" s="505">
        <f t="shared" si="5"/>
        <v>0</v>
      </c>
      <c r="P18" s="279"/>
      <c r="R18" s="244"/>
      <c r="S18" s="244"/>
      <c r="T18" s="244"/>
      <c r="U18" s="244"/>
    </row>
    <row r="19" spans="2:21">
      <c r="B19" s="145" t="str">
        <f t="shared" si="0"/>
        <v>IU</v>
      </c>
      <c r="C19" s="496">
        <f>IF(D11="","-",+C18+1)</f>
        <v>2013</v>
      </c>
      <c r="D19" s="506">
        <v>602741.16083379125</v>
      </c>
      <c r="E19" s="499">
        <v>10634.741311914131</v>
      </c>
      <c r="F19" s="506">
        <v>592106.41952187708</v>
      </c>
      <c r="G19" s="499">
        <v>75317.164005617815</v>
      </c>
      <c r="H19" s="500">
        <v>75317.164005617815</v>
      </c>
      <c r="I19" s="501">
        <v>0</v>
      </c>
      <c r="J19" s="351"/>
      <c r="K19" s="507">
        <f t="shared" si="1"/>
        <v>75317.164005617815</v>
      </c>
      <c r="L19" s="351">
        <f t="shared" ref="L19:L24" si="6">IF(K19&lt;&gt;0,+G19-K19,0)</f>
        <v>0</v>
      </c>
      <c r="M19" s="507">
        <f t="shared" si="3"/>
        <v>75317.164005617815</v>
      </c>
      <c r="N19" s="501">
        <f>IF(M19&lt;&gt;0,+H19-M19,0)</f>
        <v>0</v>
      </c>
      <c r="O19" s="505">
        <f>+N19-L19</f>
        <v>0</v>
      </c>
      <c r="P19" s="279"/>
      <c r="R19" s="244"/>
      <c r="S19" s="244"/>
      <c r="T19" s="244"/>
      <c r="U19" s="244"/>
    </row>
    <row r="20" spans="2:21">
      <c r="B20" s="145" t="str">
        <f t="shared" si="0"/>
        <v/>
      </c>
      <c r="C20" s="496">
        <f>IF(D11="","-",+C19+1)</f>
        <v>2014</v>
      </c>
      <c r="D20" s="506">
        <v>592106.41952187708</v>
      </c>
      <c r="E20" s="499">
        <v>10634.741311914131</v>
      </c>
      <c r="F20" s="506">
        <v>581471.67820996291</v>
      </c>
      <c r="G20" s="499">
        <v>74612.516014807363</v>
      </c>
      <c r="H20" s="500">
        <v>74612.516014807363</v>
      </c>
      <c r="I20" s="501">
        <v>0</v>
      </c>
      <c r="J20" s="351"/>
      <c r="K20" s="507">
        <f t="shared" si="1"/>
        <v>74612.516014807363</v>
      </c>
      <c r="L20" s="351">
        <f t="shared" si="6"/>
        <v>0</v>
      </c>
      <c r="M20" s="507">
        <f t="shared" si="3"/>
        <v>74612.516014807363</v>
      </c>
      <c r="N20" s="501">
        <f>IF(M20&lt;&gt;0,+H20-M20,0)</f>
        <v>0</v>
      </c>
      <c r="O20" s="505">
        <f>+N20-L20</f>
        <v>0</v>
      </c>
      <c r="P20" s="279"/>
      <c r="R20" s="244"/>
      <c r="S20" s="244"/>
      <c r="T20" s="244"/>
      <c r="U20" s="244"/>
    </row>
    <row r="21" spans="2:21">
      <c r="B21" s="145" t="str">
        <f t="shared" si="0"/>
        <v/>
      </c>
      <c r="C21" s="496">
        <f>IF(D12="","-",+C20+1)</f>
        <v>2015</v>
      </c>
      <c r="D21" s="506">
        <v>581471.67820996291</v>
      </c>
      <c r="E21" s="499">
        <v>10634.741311914131</v>
      </c>
      <c r="F21" s="506">
        <v>570836.93689804873</v>
      </c>
      <c r="G21" s="499">
        <v>69468.300328468598</v>
      </c>
      <c r="H21" s="500">
        <v>69468.300328468569</v>
      </c>
      <c r="I21" s="501">
        <v>0</v>
      </c>
      <c r="J21" s="351"/>
      <c r="K21" s="507">
        <f t="shared" si="1"/>
        <v>69468.300328468598</v>
      </c>
      <c r="L21" s="351">
        <f t="shared" si="6"/>
        <v>0</v>
      </c>
      <c r="M21" s="507">
        <f t="shared" si="3"/>
        <v>69468.300328468569</v>
      </c>
      <c r="N21" s="501">
        <f>IF(M21&lt;&gt;0,+H21-M21,0)</f>
        <v>0</v>
      </c>
      <c r="O21" s="505">
        <f>+N21-L21</f>
        <v>0</v>
      </c>
      <c r="P21" s="279"/>
      <c r="R21" s="244"/>
      <c r="S21" s="244"/>
      <c r="T21" s="244"/>
      <c r="U21" s="244"/>
    </row>
    <row r="22" spans="2:21">
      <c r="B22" s="145" t="str">
        <f t="shared" si="0"/>
        <v/>
      </c>
      <c r="C22" s="496">
        <f>IF(D11="","-",+C21+1)</f>
        <v>2016</v>
      </c>
      <c r="D22" s="506">
        <v>570836.93689804873</v>
      </c>
      <c r="E22" s="499">
        <v>12774.231778414165</v>
      </c>
      <c r="F22" s="506">
        <v>558062.70511963451</v>
      </c>
      <c r="G22" s="499">
        <v>72978.242931137109</v>
      </c>
      <c r="H22" s="500">
        <v>72978.242931137109</v>
      </c>
      <c r="I22" s="501">
        <f t="shared" ref="I22:I49" si="7">H22-G22</f>
        <v>0</v>
      </c>
      <c r="J22" s="501"/>
      <c r="K22" s="507">
        <f t="shared" si="1"/>
        <v>72978.242931137109</v>
      </c>
      <c r="L22" s="351">
        <f t="shared" si="6"/>
        <v>0</v>
      </c>
      <c r="M22" s="507">
        <f t="shared" si="3"/>
        <v>72978.242931137109</v>
      </c>
      <c r="N22" s="501">
        <f t="shared" si="4"/>
        <v>0</v>
      </c>
      <c r="O22" s="505">
        <f t="shared" si="5"/>
        <v>0</v>
      </c>
      <c r="P22" s="279"/>
      <c r="R22" s="244"/>
      <c r="S22" s="244"/>
      <c r="T22" s="244"/>
      <c r="U22" s="244"/>
    </row>
    <row r="23" spans="2:21">
      <c r="B23" s="145" t="str">
        <f t="shared" si="0"/>
        <v/>
      </c>
      <c r="C23" s="496">
        <f>IF(D11="","-",+C22+1)</f>
        <v>2017</v>
      </c>
      <c r="D23" s="506">
        <v>558062.70511963451</v>
      </c>
      <c r="E23" s="499">
        <v>12087.261057971307</v>
      </c>
      <c r="F23" s="506">
        <v>545975.44406166323</v>
      </c>
      <c r="G23" s="499">
        <v>72776.222858216002</v>
      </c>
      <c r="H23" s="500">
        <v>72776.222858216002</v>
      </c>
      <c r="I23" s="501">
        <f t="shared" si="7"/>
        <v>0</v>
      </c>
      <c r="J23" s="501"/>
      <c r="K23" s="507">
        <f>G23</f>
        <v>72776.222858216002</v>
      </c>
      <c r="L23" s="351">
        <f t="shared" si="6"/>
        <v>0</v>
      </c>
      <c r="M23" s="507">
        <f>H23</f>
        <v>72776.222858216002</v>
      </c>
      <c r="N23" s="501">
        <f>IF(M23&lt;&gt;0,+H23-M23,0)</f>
        <v>0</v>
      </c>
      <c r="O23" s="505">
        <f>+N23-L23</f>
        <v>0</v>
      </c>
      <c r="P23" s="279"/>
      <c r="R23" s="244"/>
      <c r="S23" s="244"/>
      <c r="T23" s="244"/>
      <c r="U23" s="244"/>
    </row>
    <row r="24" spans="2:21">
      <c r="B24" s="145" t="str">
        <f t="shared" si="0"/>
        <v/>
      </c>
      <c r="C24" s="496">
        <f>IF(D11="","-",+C23+1)</f>
        <v>2018</v>
      </c>
      <c r="D24" s="506">
        <v>545975.44406166323</v>
      </c>
      <c r="E24" s="499">
        <v>15076.56031908646</v>
      </c>
      <c r="F24" s="506">
        <v>530898.88374257681</v>
      </c>
      <c r="G24" s="499">
        <v>78338.095666520749</v>
      </c>
      <c r="H24" s="500">
        <v>78338.095666520749</v>
      </c>
      <c r="I24" s="501">
        <v>0</v>
      </c>
      <c r="J24" s="501"/>
      <c r="K24" s="507">
        <f>G24</f>
        <v>78338.095666520749</v>
      </c>
      <c r="L24" s="351">
        <f t="shared" si="6"/>
        <v>0</v>
      </c>
      <c r="M24" s="507">
        <f>H24</f>
        <v>78338.095666520749</v>
      </c>
      <c r="N24" s="501">
        <f>IF(M24&lt;&gt;0,+H24-M24,0)</f>
        <v>0</v>
      </c>
      <c r="O24" s="505">
        <f>+N24-L24</f>
        <v>0</v>
      </c>
      <c r="P24" s="279"/>
      <c r="R24" s="244"/>
      <c r="S24" s="244"/>
      <c r="T24" s="244"/>
      <c r="U24" s="244"/>
    </row>
    <row r="25" spans="2:21">
      <c r="B25" s="145" t="str">
        <f t="shared" si="0"/>
        <v/>
      </c>
      <c r="C25" s="496">
        <f>IF(D11="","-",+C24+1)</f>
        <v>2019</v>
      </c>
      <c r="D25" s="506">
        <v>530898.88374257681</v>
      </c>
      <c r="E25" s="499">
        <v>15076.56031908646</v>
      </c>
      <c r="F25" s="506">
        <v>515822.32342349034</v>
      </c>
      <c r="G25" s="499">
        <v>76566.735111406859</v>
      </c>
      <c r="H25" s="500">
        <v>76566.735111406859</v>
      </c>
      <c r="I25" s="501">
        <f t="shared" si="7"/>
        <v>0</v>
      </c>
      <c r="J25" s="501"/>
      <c r="K25" s="507">
        <f>G25</f>
        <v>76566.735111406859</v>
      </c>
      <c r="L25" s="351">
        <f t="shared" ref="L25" si="8">IF(K25&lt;&gt;0,+G25-K25,0)</f>
        <v>0</v>
      </c>
      <c r="M25" s="507">
        <f>H25</f>
        <v>76566.735111406859</v>
      </c>
      <c r="N25" s="501">
        <f>IF(M25&lt;&gt;0,+H25-M25,0)</f>
        <v>0</v>
      </c>
      <c r="O25" s="505">
        <f>+N25-L25</f>
        <v>0</v>
      </c>
      <c r="P25" s="279"/>
      <c r="R25" s="244"/>
      <c r="S25" s="244"/>
      <c r="T25" s="244"/>
      <c r="U25" s="244"/>
    </row>
    <row r="26" spans="2:21">
      <c r="B26" s="145" t="str">
        <f t="shared" si="0"/>
        <v/>
      </c>
      <c r="C26" s="496">
        <f>IF(D11="","-",+C25+1)</f>
        <v>2020</v>
      </c>
      <c r="D26" s="506">
        <v>515822.32342349034</v>
      </c>
      <c r="E26" s="499">
        <v>18001.062389209259</v>
      </c>
      <c r="F26" s="506">
        <v>497821.26103428105</v>
      </c>
      <c r="G26" s="499">
        <v>71183.123031214564</v>
      </c>
      <c r="H26" s="500">
        <v>71183.123031214564</v>
      </c>
      <c r="I26" s="501">
        <f t="shared" si="7"/>
        <v>0</v>
      </c>
      <c r="J26" s="501"/>
      <c r="K26" s="507">
        <f>G26</f>
        <v>71183.123031214564</v>
      </c>
      <c r="L26" s="351">
        <f t="shared" ref="L26" si="9">IF(K26&lt;&gt;0,+G26-K26,0)</f>
        <v>0</v>
      </c>
      <c r="M26" s="507">
        <f>H26</f>
        <v>71183.123031214564</v>
      </c>
      <c r="N26" s="505">
        <f t="shared" si="4"/>
        <v>0</v>
      </c>
      <c r="O26" s="505">
        <f t="shared" si="5"/>
        <v>0</v>
      </c>
      <c r="P26" s="279"/>
      <c r="R26" s="244"/>
      <c r="S26" s="244"/>
      <c r="T26" s="244"/>
      <c r="U26" s="244"/>
    </row>
    <row r="27" spans="2:21">
      <c r="B27" s="145" t="str">
        <f t="shared" si="0"/>
        <v>IU</v>
      </c>
      <c r="C27" s="496">
        <f>IF(D11="","-",+C26+1)</f>
        <v>2021</v>
      </c>
      <c r="D27" s="506">
        <v>494664.95623142482</v>
      </c>
      <c r="E27" s="499">
        <v>19830.741935483871</v>
      </c>
      <c r="F27" s="506">
        <v>474834.21429594094</v>
      </c>
      <c r="G27" s="499">
        <v>72273.408385464543</v>
      </c>
      <c r="H27" s="500">
        <v>72273.408385464543</v>
      </c>
      <c r="I27" s="501">
        <f t="shared" si="7"/>
        <v>0</v>
      </c>
      <c r="J27" s="501"/>
      <c r="K27" s="507">
        <f>G27</f>
        <v>72273.408385464543</v>
      </c>
      <c r="L27" s="351">
        <f t="shared" ref="L27" si="10">IF(K27&lt;&gt;0,+G27-K27,0)</f>
        <v>0</v>
      </c>
      <c r="M27" s="507">
        <f>H27</f>
        <v>72273.408385464543</v>
      </c>
      <c r="N27" s="505">
        <f t="shared" si="4"/>
        <v>0</v>
      </c>
      <c r="O27" s="505">
        <f t="shared" si="5"/>
        <v>0</v>
      </c>
      <c r="P27" s="279"/>
      <c r="R27" s="244"/>
      <c r="S27" s="244"/>
      <c r="T27" s="244"/>
      <c r="U27" s="244"/>
    </row>
    <row r="28" spans="2:21">
      <c r="B28" s="145" t="str">
        <f t="shared" si="0"/>
        <v>IU</v>
      </c>
      <c r="C28" s="496">
        <f>IF(D11="","-",+C27+1)</f>
        <v>2022</v>
      </c>
      <c r="D28" s="509">
        <f>IF(F27+SUM(E$17:E27)=D$10,F27,D$10-SUM(E$17:E27))</f>
        <v>477990.51909879735</v>
      </c>
      <c r="E28" s="510">
        <f>IF(+I14&lt;F27,I14,D28)</f>
        <v>18080.970588235294</v>
      </c>
      <c r="F28" s="511">
        <f t="shared" ref="F28:F50" si="11">+D28-E28</f>
        <v>459909.54851056205</v>
      </c>
      <c r="G28" s="512">
        <f t="shared" ref="G28:G73" si="12">(D28+F28)/2*I$12+E28</f>
        <v>67985.296096246078</v>
      </c>
      <c r="H28" s="478">
        <f t="shared" ref="H28:H73" si="13">+(D28+F28)/2*I$13+E28</f>
        <v>67985.296096246078</v>
      </c>
      <c r="I28" s="501">
        <f t="shared" si="7"/>
        <v>0</v>
      </c>
      <c r="J28" s="501"/>
      <c r="K28" s="513"/>
      <c r="L28" s="505">
        <f t="shared" si="2"/>
        <v>0</v>
      </c>
      <c r="M28" s="513"/>
      <c r="N28" s="505">
        <f t="shared" si="4"/>
        <v>0</v>
      </c>
      <c r="O28" s="505">
        <f t="shared" si="5"/>
        <v>0</v>
      </c>
      <c r="P28" s="279"/>
      <c r="R28" s="244"/>
      <c r="S28" s="244"/>
      <c r="T28" s="244"/>
      <c r="U28" s="244"/>
    </row>
    <row r="29" spans="2:21">
      <c r="B29" s="145" t="str">
        <f t="shared" si="0"/>
        <v/>
      </c>
      <c r="C29" s="496">
        <f>IF(D11="","-",+C28+1)</f>
        <v>2023</v>
      </c>
      <c r="D29" s="509">
        <f>IF(F28+SUM(E$17:E28)=D$10,F28,D$10-SUM(E$17:E28))</f>
        <v>459909.54851056205</v>
      </c>
      <c r="E29" s="510">
        <f>IF(+I14&lt;F28,I14,D29)</f>
        <v>18080.970588235294</v>
      </c>
      <c r="F29" s="511">
        <f t="shared" si="11"/>
        <v>441828.57792232675</v>
      </c>
      <c r="G29" s="512">
        <f t="shared" si="12"/>
        <v>66061.170759447647</v>
      </c>
      <c r="H29" s="478">
        <f t="shared" si="13"/>
        <v>66061.170759447647</v>
      </c>
      <c r="I29" s="501">
        <f t="shared" si="7"/>
        <v>0</v>
      </c>
      <c r="J29" s="501"/>
      <c r="K29" s="513"/>
      <c r="L29" s="505">
        <f t="shared" si="2"/>
        <v>0</v>
      </c>
      <c r="M29" s="513"/>
      <c r="N29" s="505">
        <f t="shared" si="4"/>
        <v>0</v>
      </c>
      <c r="O29" s="505">
        <f t="shared" si="5"/>
        <v>0</v>
      </c>
      <c r="P29" s="279"/>
      <c r="R29" s="244"/>
      <c r="S29" s="244"/>
      <c r="T29" s="244"/>
      <c r="U29" s="244"/>
    </row>
    <row r="30" spans="2:21">
      <c r="B30" s="145" t="str">
        <f t="shared" si="0"/>
        <v/>
      </c>
      <c r="C30" s="496">
        <f>IF(D11="","-",+C29+1)</f>
        <v>2024</v>
      </c>
      <c r="D30" s="509">
        <f>IF(F29+SUM(E$17:E29)=D$10,F29,D$10-SUM(E$17:E29))</f>
        <v>441828.57792232675</v>
      </c>
      <c r="E30" s="510">
        <f>IF(+I14&lt;F29,I14,D30)</f>
        <v>18080.970588235294</v>
      </c>
      <c r="F30" s="511">
        <f t="shared" si="11"/>
        <v>423747.60733409144</v>
      </c>
      <c r="G30" s="512">
        <f t="shared" si="12"/>
        <v>64137.045422649215</v>
      </c>
      <c r="H30" s="478">
        <f t="shared" si="13"/>
        <v>64137.045422649215</v>
      </c>
      <c r="I30" s="501">
        <f t="shared" si="7"/>
        <v>0</v>
      </c>
      <c r="J30" s="501"/>
      <c r="K30" s="513"/>
      <c r="L30" s="505">
        <f t="shared" si="2"/>
        <v>0</v>
      </c>
      <c r="M30" s="513"/>
      <c r="N30" s="505">
        <f t="shared" si="4"/>
        <v>0</v>
      </c>
      <c r="O30" s="505">
        <f t="shared" si="5"/>
        <v>0</v>
      </c>
      <c r="P30" s="279"/>
      <c r="R30" s="244"/>
      <c r="S30" s="244"/>
      <c r="T30" s="244"/>
      <c r="U30" s="244"/>
    </row>
    <row r="31" spans="2:21">
      <c r="B31" s="145" t="str">
        <f t="shared" si="0"/>
        <v/>
      </c>
      <c r="C31" s="496">
        <f>IF(D11="","-",+C30+1)</f>
        <v>2025</v>
      </c>
      <c r="D31" s="509">
        <f>IF(F30+SUM(E$17:E30)=D$10,F30,D$10-SUM(E$17:E30))</f>
        <v>423747.60733409144</v>
      </c>
      <c r="E31" s="510">
        <f>IF(+I14&lt;F30,I14,D31)</f>
        <v>18080.970588235294</v>
      </c>
      <c r="F31" s="511">
        <f t="shared" si="11"/>
        <v>405666.63674585614</v>
      </c>
      <c r="G31" s="512">
        <f t="shared" si="12"/>
        <v>62212.920085850783</v>
      </c>
      <c r="H31" s="478">
        <f t="shared" si="13"/>
        <v>62212.920085850783</v>
      </c>
      <c r="I31" s="501">
        <f t="shared" si="7"/>
        <v>0</v>
      </c>
      <c r="J31" s="351"/>
      <c r="K31" s="513"/>
      <c r="L31" s="505">
        <f>IF(K31&lt;&gt;0,+G31-K31,0)</f>
        <v>0</v>
      </c>
      <c r="M31" s="513"/>
      <c r="N31" s="505">
        <f>IF(M31&lt;&gt;0,+H31-M31,0)</f>
        <v>0</v>
      </c>
      <c r="O31" s="505">
        <f>+N31-L31</f>
        <v>0</v>
      </c>
      <c r="P31" s="279"/>
      <c r="Q31" s="221"/>
      <c r="R31" s="279"/>
      <c r="S31" s="279"/>
      <c r="T31" s="279"/>
      <c r="U31" s="244"/>
    </row>
    <row r="32" spans="2:21">
      <c r="B32" s="145" t="str">
        <f t="shared" si="0"/>
        <v/>
      </c>
      <c r="C32" s="496">
        <f>IF(D12="","-",+C31+1)</f>
        <v>2026</v>
      </c>
      <c r="D32" s="509">
        <f>IF(F31+SUM(E$17:E31)=D$10,F31,D$10-SUM(E$17:E31))</f>
        <v>405666.63674585614</v>
      </c>
      <c r="E32" s="510">
        <f>IF(+I14&lt;F31,I14,D32)</f>
        <v>18080.970588235294</v>
      </c>
      <c r="F32" s="511">
        <f>+D32-E32</f>
        <v>387585.66615762084</v>
      </c>
      <c r="G32" s="512">
        <f t="shared" si="12"/>
        <v>60288.794749052358</v>
      </c>
      <c r="H32" s="478">
        <f t="shared" si="13"/>
        <v>60288.794749052358</v>
      </c>
      <c r="I32" s="501">
        <f>H32-G32</f>
        <v>0</v>
      </c>
      <c r="J32" s="35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2027</v>
      </c>
      <c r="D33" s="509">
        <f>IF(F32+SUM(E$17:E32)=D$10,F32,D$10-SUM(E$17:E32))</f>
        <v>387585.66615762084</v>
      </c>
      <c r="E33" s="510">
        <f>IF(+I14&lt;F31,I14,D33)</f>
        <v>18080.970588235294</v>
      </c>
      <c r="F33" s="511">
        <f t="shared" si="11"/>
        <v>369504.69556938554</v>
      </c>
      <c r="G33" s="512">
        <f t="shared" si="12"/>
        <v>58364.669412253927</v>
      </c>
      <c r="H33" s="478">
        <f t="shared" si="13"/>
        <v>58364.669412253927</v>
      </c>
      <c r="I33" s="501">
        <f t="shared" si="7"/>
        <v>0</v>
      </c>
      <c r="J33" s="501"/>
      <c r="K33" s="513"/>
      <c r="L33" s="505">
        <f>IF(K33&lt;&gt;0,+G33-K33,0)</f>
        <v>0</v>
      </c>
      <c r="M33" s="513"/>
      <c r="N33" s="505">
        <f>IF(M33&lt;&gt;0,+H33-M33,0)</f>
        <v>0</v>
      </c>
      <c r="O33" s="505">
        <f>+N33-L33</f>
        <v>0</v>
      </c>
      <c r="P33" s="279"/>
      <c r="R33" s="244"/>
      <c r="S33" s="244"/>
      <c r="T33" s="244"/>
      <c r="U33" s="244"/>
    </row>
    <row r="34" spans="2:21">
      <c r="B34" s="145" t="str">
        <f t="shared" si="0"/>
        <v/>
      </c>
      <c r="C34" s="496">
        <f>IF(D14="","-",+C33+1)</f>
        <v>2028</v>
      </c>
      <c r="D34" s="515">
        <f>IF(F33+SUM(E$17:E33)=D$10,F33,D$10-SUM(E$17:E33))</f>
        <v>369504.69556938554</v>
      </c>
      <c r="E34" s="516">
        <f>IF(+I14&lt;F33,I14,D34)</f>
        <v>18080.970588235294</v>
      </c>
      <c r="F34" s="517">
        <f t="shared" si="11"/>
        <v>351423.72498115024</v>
      </c>
      <c r="G34" s="518">
        <f t="shared" si="12"/>
        <v>56440.544075455502</v>
      </c>
      <c r="H34" s="519">
        <f t="shared" si="13"/>
        <v>56440.544075455502</v>
      </c>
      <c r="I34" s="520">
        <f t="shared" si="7"/>
        <v>0</v>
      </c>
      <c r="J34" s="520"/>
      <c r="K34" s="521"/>
      <c r="L34" s="522">
        <f t="shared" si="2"/>
        <v>0</v>
      </c>
      <c r="M34" s="521"/>
      <c r="N34" s="522">
        <f t="shared" si="4"/>
        <v>0</v>
      </c>
      <c r="O34" s="522">
        <f t="shared" si="5"/>
        <v>0</v>
      </c>
      <c r="P34" s="523"/>
      <c r="Q34" s="217"/>
      <c r="R34" s="523"/>
      <c r="S34" s="523"/>
      <c r="T34" s="523"/>
      <c r="U34" s="244"/>
    </row>
    <row r="35" spans="2:21">
      <c r="B35" s="145" t="str">
        <f t="shared" si="0"/>
        <v/>
      </c>
      <c r="C35" s="496">
        <f>IF(D11="","-",+C34+1)</f>
        <v>2029</v>
      </c>
      <c r="D35" s="509">
        <f>IF(F34+SUM(E$17:E34)=D$10,F34,D$10-SUM(E$17:E34))</f>
        <v>351423.72498115024</v>
      </c>
      <c r="E35" s="510">
        <f>IF(+I14&lt;F34,I14,D35)</f>
        <v>18080.970588235294</v>
      </c>
      <c r="F35" s="511">
        <f t="shared" si="11"/>
        <v>333342.75439291494</v>
      </c>
      <c r="G35" s="512">
        <f t="shared" si="12"/>
        <v>54516.41873865707</v>
      </c>
      <c r="H35" s="478">
        <f t="shared" si="13"/>
        <v>54516.41873865707</v>
      </c>
      <c r="I35" s="501">
        <f t="shared" si="7"/>
        <v>0</v>
      </c>
      <c r="J35" s="501"/>
      <c r="K35" s="513"/>
      <c r="L35" s="505">
        <f t="shared" si="2"/>
        <v>0</v>
      </c>
      <c r="M35" s="513"/>
      <c r="N35" s="505">
        <f t="shared" si="4"/>
        <v>0</v>
      </c>
      <c r="O35" s="505">
        <f t="shared" si="5"/>
        <v>0</v>
      </c>
      <c r="P35" s="279"/>
      <c r="R35" s="244"/>
      <c r="S35" s="244"/>
      <c r="T35" s="244"/>
      <c r="U35" s="244"/>
    </row>
    <row r="36" spans="2:21">
      <c r="B36" s="145" t="str">
        <f t="shared" si="0"/>
        <v/>
      </c>
      <c r="C36" s="496">
        <f>IF(D11="","-",+C35+1)</f>
        <v>2030</v>
      </c>
      <c r="D36" s="509">
        <f>IF(F35+SUM(E$17:E35)=D$10,F35,D$10-SUM(E$17:E35))</f>
        <v>333342.75439291494</v>
      </c>
      <c r="E36" s="510">
        <f>IF(+I14&lt;F35,I14,D36)</f>
        <v>18080.970588235294</v>
      </c>
      <c r="F36" s="511">
        <f t="shared" si="11"/>
        <v>315261.78380467964</v>
      </c>
      <c r="G36" s="512">
        <f t="shared" si="12"/>
        <v>52592.293401858646</v>
      </c>
      <c r="H36" s="478">
        <f t="shared" si="13"/>
        <v>52592.293401858646</v>
      </c>
      <c r="I36" s="501">
        <f t="shared" si="7"/>
        <v>0</v>
      </c>
      <c r="J36" s="501"/>
      <c r="K36" s="513"/>
      <c r="L36" s="505">
        <f t="shared" si="2"/>
        <v>0</v>
      </c>
      <c r="M36" s="513"/>
      <c r="N36" s="505">
        <f t="shared" si="4"/>
        <v>0</v>
      </c>
      <c r="O36" s="505">
        <f t="shared" si="5"/>
        <v>0</v>
      </c>
      <c r="P36" s="279"/>
      <c r="R36" s="244"/>
      <c r="S36" s="244"/>
      <c r="T36" s="244"/>
      <c r="U36" s="244"/>
    </row>
    <row r="37" spans="2:21">
      <c r="B37" s="145" t="str">
        <f t="shared" si="0"/>
        <v/>
      </c>
      <c r="C37" s="496">
        <f>IF(D11="","-",+C36+1)</f>
        <v>2031</v>
      </c>
      <c r="D37" s="509">
        <f>IF(F36+SUM(E$17:E36)=D$10,F36,D$10-SUM(E$17:E36))</f>
        <v>315261.78380467964</v>
      </c>
      <c r="E37" s="510">
        <f>IF(+I14&lt;F36,I14,D37)</f>
        <v>18080.970588235294</v>
      </c>
      <c r="F37" s="511">
        <f t="shared" si="11"/>
        <v>297180.81321644434</v>
      </c>
      <c r="G37" s="512">
        <f t="shared" si="12"/>
        <v>50668.168065060221</v>
      </c>
      <c r="H37" s="478">
        <f t="shared" si="13"/>
        <v>50668.168065060221</v>
      </c>
      <c r="I37" s="501">
        <f t="shared" si="7"/>
        <v>0</v>
      </c>
      <c r="J37" s="501"/>
      <c r="K37" s="513"/>
      <c r="L37" s="505">
        <f t="shared" si="2"/>
        <v>0</v>
      </c>
      <c r="M37" s="513"/>
      <c r="N37" s="505">
        <f t="shared" si="4"/>
        <v>0</v>
      </c>
      <c r="O37" s="505">
        <f t="shared" si="5"/>
        <v>0</v>
      </c>
      <c r="P37" s="279"/>
      <c r="R37" s="244"/>
      <c r="S37" s="244"/>
      <c r="T37" s="244"/>
      <c r="U37" s="244"/>
    </row>
    <row r="38" spans="2:21">
      <c r="B38" s="145" t="str">
        <f t="shared" si="0"/>
        <v/>
      </c>
      <c r="C38" s="496">
        <f>IF(D11="","-",+C37+1)</f>
        <v>2032</v>
      </c>
      <c r="D38" s="509">
        <f>IF(F37+SUM(E$17:E37)=D$10,F37,D$10-SUM(E$17:E37))</f>
        <v>297180.81321644434</v>
      </c>
      <c r="E38" s="510">
        <f>IF(+I14&lt;F37,I14,D38)</f>
        <v>18080.970588235294</v>
      </c>
      <c r="F38" s="511">
        <f t="shared" si="11"/>
        <v>279099.84262820904</v>
      </c>
      <c r="G38" s="512">
        <f t="shared" si="12"/>
        <v>48744.042728261789</v>
      </c>
      <c r="H38" s="478">
        <f t="shared" si="13"/>
        <v>48744.042728261789</v>
      </c>
      <c r="I38" s="501">
        <f t="shared" si="7"/>
        <v>0</v>
      </c>
      <c r="J38" s="501"/>
      <c r="K38" s="513"/>
      <c r="L38" s="505">
        <f t="shared" si="2"/>
        <v>0</v>
      </c>
      <c r="M38" s="513"/>
      <c r="N38" s="505">
        <f t="shared" si="4"/>
        <v>0</v>
      </c>
      <c r="O38" s="505">
        <f t="shared" si="5"/>
        <v>0</v>
      </c>
      <c r="P38" s="279"/>
      <c r="R38" s="244"/>
      <c r="S38" s="244"/>
      <c r="T38" s="244"/>
      <c r="U38" s="244"/>
    </row>
    <row r="39" spans="2:21">
      <c r="B39" s="145" t="str">
        <f t="shared" si="0"/>
        <v/>
      </c>
      <c r="C39" s="496">
        <f>IF(D11="","-",+C38+1)</f>
        <v>2033</v>
      </c>
      <c r="D39" s="509">
        <f>IF(F38+SUM(E$17:E38)=D$10,F38,D$10-SUM(E$17:E38))</f>
        <v>279099.84262820904</v>
      </c>
      <c r="E39" s="510">
        <f>IF(+I14&lt;F38,I14,D39)</f>
        <v>18080.970588235294</v>
      </c>
      <c r="F39" s="511">
        <f t="shared" si="11"/>
        <v>261018.87203997374</v>
      </c>
      <c r="G39" s="512">
        <f t="shared" si="12"/>
        <v>46819.917391463357</v>
      </c>
      <c r="H39" s="478">
        <f t="shared" si="13"/>
        <v>46819.917391463357</v>
      </c>
      <c r="I39" s="501">
        <f t="shared" si="7"/>
        <v>0</v>
      </c>
      <c r="J39" s="501"/>
      <c r="K39" s="513"/>
      <c r="L39" s="505">
        <f t="shared" si="2"/>
        <v>0</v>
      </c>
      <c r="M39" s="513"/>
      <c r="N39" s="505">
        <f t="shared" si="4"/>
        <v>0</v>
      </c>
      <c r="O39" s="505">
        <f t="shared" si="5"/>
        <v>0</v>
      </c>
      <c r="P39" s="279"/>
      <c r="R39" s="244"/>
      <c r="S39" s="244"/>
      <c r="T39" s="244"/>
      <c r="U39" s="244"/>
    </row>
    <row r="40" spans="2:21">
      <c r="B40" s="145" t="str">
        <f t="shared" si="0"/>
        <v/>
      </c>
      <c r="C40" s="496">
        <f>IF(D11="","-",+C39+1)</f>
        <v>2034</v>
      </c>
      <c r="D40" s="509">
        <f>IF(F39+SUM(E$17:E39)=D$10,F39,D$10-SUM(E$17:E39))</f>
        <v>261018.87203997374</v>
      </c>
      <c r="E40" s="510">
        <f>IF(+I14&lt;F39,I14,D40)</f>
        <v>18080.970588235294</v>
      </c>
      <c r="F40" s="511">
        <f t="shared" si="11"/>
        <v>242937.90145173843</v>
      </c>
      <c r="G40" s="512">
        <f t="shared" si="12"/>
        <v>44895.792054664933</v>
      </c>
      <c r="H40" s="478">
        <f t="shared" si="13"/>
        <v>44895.792054664933</v>
      </c>
      <c r="I40" s="501">
        <f t="shared" si="7"/>
        <v>0</v>
      </c>
      <c r="J40" s="501"/>
      <c r="K40" s="513"/>
      <c r="L40" s="505">
        <f t="shared" si="2"/>
        <v>0</v>
      </c>
      <c r="M40" s="513"/>
      <c r="N40" s="505">
        <f t="shared" si="4"/>
        <v>0</v>
      </c>
      <c r="O40" s="505">
        <f t="shared" si="5"/>
        <v>0</v>
      </c>
      <c r="P40" s="279"/>
      <c r="R40" s="244"/>
      <c r="S40" s="244"/>
      <c r="T40" s="244"/>
      <c r="U40" s="244"/>
    </row>
    <row r="41" spans="2:21">
      <c r="B41" s="145" t="str">
        <f t="shared" si="0"/>
        <v/>
      </c>
      <c r="C41" s="496">
        <f>IF(D12="","-",+C40+1)</f>
        <v>2035</v>
      </c>
      <c r="D41" s="509">
        <f>IF(F40+SUM(E$17:E40)=D$10,F40,D$10-SUM(E$17:E40))</f>
        <v>242937.90145173843</v>
      </c>
      <c r="E41" s="510">
        <f>IF(+I14&lt;F40,I14,D41)</f>
        <v>18080.970588235294</v>
      </c>
      <c r="F41" s="511">
        <f t="shared" si="11"/>
        <v>224856.93086350313</v>
      </c>
      <c r="G41" s="512">
        <f t="shared" si="12"/>
        <v>42971.666717866508</v>
      </c>
      <c r="H41" s="478">
        <f t="shared" si="13"/>
        <v>42971.666717866508</v>
      </c>
      <c r="I41" s="501">
        <f t="shared" si="7"/>
        <v>0</v>
      </c>
      <c r="J41" s="501"/>
      <c r="K41" s="513"/>
      <c r="L41" s="505">
        <f t="shared" si="2"/>
        <v>0</v>
      </c>
      <c r="M41" s="513"/>
      <c r="N41" s="505">
        <f t="shared" si="4"/>
        <v>0</v>
      </c>
      <c r="O41" s="505">
        <f t="shared" si="5"/>
        <v>0</v>
      </c>
      <c r="P41" s="279"/>
      <c r="R41" s="244"/>
      <c r="S41" s="244"/>
      <c r="T41" s="244"/>
      <c r="U41" s="244"/>
    </row>
    <row r="42" spans="2:21">
      <c r="B42" s="145" t="str">
        <f t="shared" si="0"/>
        <v/>
      </c>
      <c r="C42" s="496">
        <f>IF(D13="","-",+C41+1)</f>
        <v>2036</v>
      </c>
      <c r="D42" s="509">
        <f>IF(F41+SUM(E$17:E41)=D$10,F41,D$10-SUM(E$17:E41))</f>
        <v>224856.93086350313</v>
      </c>
      <c r="E42" s="510">
        <f>IF(+I14&lt;F41,I14,D42)</f>
        <v>18080.970588235294</v>
      </c>
      <c r="F42" s="511">
        <f t="shared" si="11"/>
        <v>206775.96027526783</v>
      </c>
      <c r="G42" s="512">
        <f t="shared" si="12"/>
        <v>41047.541381068077</v>
      </c>
      <c r="H42" s="478">
        <f t="shared" si="13"/>
        <v>41047.541381068077</v>
      </c>
      <c r="I42" s="501">
        <f t="shared" si="7"/>
        <v>0</v>
      </c>
      <c r="J42" s="501"/>
      <c r="K42" s="513"/>
      <c r="L42" s="505">
        <f t="shared" si="2"/>
        <v>0</v>
      </c>
      <c r="M42" s="513"/>
      <c r="N42" s="505">
        <f t="shared" si="4"/>
        <v>0</v>
      </c>
      <c r="O42" s="505">
        <f t="shared" si="5"/>
        <v>0</v>
      </c>
      <c r="P42" s="279"/>
      <c r="R42" s="244"/>
      <c r="S42" s="244"/>
      <c r="T42" s="244"/>
      <c r="U42" s="244"/>
    </row>
    <row r="43" spans="2:21">
      <c r="B43" s="145" t="str">
        <f t="shared" si="0"/>
        <v/>
      </c>
      <c r="C43" s="496">
        <f>IF(D14="","-",+C42+1)</f>
        <v>2037</v>
      </c>
      <c r="D43" s="509">
        <f>IF(F42+SUM(E$17:E42)=D$10,F42,D$10-SUM(E$17:E42))</f>
        <v>206775.96027526783</v>
      </c>
      <c r="E43" s="510">
        <f>IF(+I14&lt;F42,I14,D43)</f>
        <v>18080.970588235294</v>
      </c>
      <c r="F43" s="511">
        <f t="shared" si="11"/>
        <v>188694.98968703253</v>
      </c>
      <c r="G43" s="512">
        <f t="shared" si="12"/>
        <v>39123.416044269645</v>
      </c>
      <c r="H43" s="478">
        <f t="shared" si="13"/>
        <v>39123.416044269645</v>
      </c>
      <c r="I43" s="501">
        <f t="shared" si="7"/>
        <v>0</v>
      </c>
      <c r="J43" s="501"/>
      <c r="K43" s="513"/>
      <c r="L43" s="505">
        <f t="shared" si="2"/>
        <v>0</v>
      </c>
      <c r="M43" s="513"/>
      <c r="N43" s="505">
        <f t="shared" si="4"/>
        <v>0</v>
      </c>
      <c r="O43" s="505">
        <f t="shared" si="5"/>
        <v>0</v>
      </c>
      <c r="P43" s="279"/>
      <c r="R43" s="244"/>
      <c r="S43" s="244"/>
      <c r="T43" s="244"/>
      <c r="U43" s="244"/>
    </row>
    <row r="44" spans="2:21">
      <c r="B44" s="145" t="str">
        <f t="shared" si="0"/>
        <v/>
      </c>
      <c r="C44" s="496">
        <f>IF(D11="","-",+C43+1)</f>
        <v>2038</v>
      </c>
      <c r="D44" s="509">
        <f>IF(F43+SUM(E$17:E43)=D$10,F43,D$10-SUM(E$17:E43))</f>
        <v>188694.98968703253</v>
      </c>
      <c r="E44" s="510">
        <f>IF(+I14&lt;F43,I14,D44)</f>
        <v>18080.970588235294</v>
      </c>
      <c r="F44" s="511">
        <f t="shared" si="11"/>
        <v>170614.01909879723</v>
      </c>
      <c r="G44" s="512">
        <f t="shared" si="12"/>
        <v>37199.29070747122</v>
      </c>
      <c r="H44" s="478">
        <f t="shared" si="13"/>
        <v>37199.29070747122</v>
      </c>
      <c r="I44" s="501">
        <f t="shared" si="7"/>
        <v>0</v>
      </c>
      <c r="J44" s="501"/>
      <c r="K44" s="513"/>
      <c r="L44" s="505">
        <f t="shared" si="2"/>
        <v>0</v>
      </c>
      <c r="M44" s="513"/>
      <c r="N44" s="505">
        <f t="shared" si="4"/>
        <v>0</v>
      </c>
      <c r="O44" s="505">
        <f t="shared" si="5"/>
        <v>0</v>
      </c>
      <c r="P44" s="279"/>
      <c r="R44" s="244"/>
      <c r="S44" s="244"/>
      <c r="T44" s="244"/>
      <c r="U44" s="244"/>
    </row>
    <row r="45" spans="2:21">
      <c r="B45" s="145" t="str">
        <f t="shared" si="0"/>
        <v/>
      </c>
      <c r="C45" s="496">
        <f>IF(D11="","-",+C44+1)</f>
        <v>2039</v>
      </c>
      <c r="D45" s="509">
        <f>IF(F44+SUM(E$17:E44)=D$10,F44,D$10-SUM(E$17:E44))</f>
        <v>170614.01909879723</v>
      </c>
      <c r="E45" s="510">
        <f>IF(+I14&lt;F44,I14,D45)</f>
        <v>18080.970588235294</v>
      </c>
      <c r="F45" s="511">
        <f t="shared" si="11"/>
        <v>152533.04851056193</v>
      </c>
      <c r="G45" s="512">
        <f t="shared" si="12"/>
        <v>35275.165370672796</v>
      </c>
      <c r="H45" s="478">
        <f t="shared" si="13"/>
        <v>35275.165370672796</v>
      </c>
      <c r="I45" s="501">
        <f t="shared" si="7"/>
        <v>0</v>
      </c>
      <c r="J45" s="501"/>
      <c r="K45" s="513"/>
      <c r="L45" s="505">
        <f t="shared" si="2"/>
        <v>0</v>
      </c>
      <c r="M45" s="513"/>
      <c r="N45" s="505">
        <f t="shared" si="4"/>
        <v>0</v>
      </c>
      <c r="O45" s="505">
        <f t="shared" si="5"/>
        <v>0</v>
      </c>
      <c r="P45" s="279"/>
      <c r="R45" s="244"/>
      <c r="S45" s="244"/>
      <c r="T45" s="244"/>
      <c r="U45" s="244"/>
    </row>
    <row r="46" spans="2:21">
      <c r="B46" s="145" t="str">
        <f t="shared" si="0"/>
        <v/>
      </c>
      <c r="C46" s="496">
        <f>IF(D11="","-",+C45+1)</f>
        <v>2040</v>
      </c>
      <c r="D46" s="509">
        <f>IF(F45+SUM(E$17:E45)=D$10,F45,D$10-SUM(E$17:E45))</f>
        <v>152533.04851056193</v>
      </c>
      <c r="E46" s="510">
        <f>IF(+I14&lt;F45,I14,D46)</f>
        <v>18080.970588235294</v>
      </c>
      <c r="F46" s="511">
        <f t="shared" si="11"/>
        <v>134452.07792232663</v>
      </c>
      <c r="G46" s="512">
        <f t="shared" si="12"/>
        <v>33351.040033874364</v>
      </c>
      <c r="H46" s="478">
        <f t="shared" si="13"/>
        <v>33351.040033874364</v>
      </c>
      <c r="I46" s="501">
        <f t="shared" si="7"/>
        <v>0</v>
      </c>
      <c r="J46" s="501"/>
      <c r="K46" s="513"/>
      <c r="L46" s="505">
        <f t="shared" si="2"/>
        <v>0</v>
      </c>
      <c r="M46" s="513"/>
      <c r="N46" s="505">
        <f t="shared" si="4"/>
        <v>0</v>
      </c>
      <c r="O46" s="505">
        <f t="shared" si="5"/>
        <v>0</v>
      </c>
      <c r="P46" s="279"/>
      <c r="R46" s="244"/>
      <c r="S46" s="244"/>
      <c r="T46" s="244"/>
      <c r="U46" s="244"/>
    </row>
    <row r="47" spans="2:21">
      <c r="B47" s="145" t="str">
        <f t="shared" si="0"/>
        <v/>
      </c>
      <c r="C47" s="496">
        <f>IF(D11="","-",+C46+1)</f>
        <v>2041</v>
      </c>
      <c r="D47" s="509">
        <f>IF(F46+SUM(E$17:E46)=D$10,F46,D$10-SUM(E$17:E46))</f>
        <v>134452.07792232663</v>
      </c>
      <c r="E47" s="510">
        <f>IF(+I14&lt;F46,I14,D47)</f>
        <v>18080.970588235294</v>
      </c>
      <c r="F47" s="511">
        <f t="shared" si="11"/>
        <v>116371.10733409133</v>
      </c>
      <c r="G47" s="512">
        <f t="shared" si="12"/>
        <v>31426.914697075936</v>
      </c>
      <c r="H47" s="478">
        <f t="shared" si="13"/>
        <v>31426.914697075936</v>
      </c>
      <c r="I47" s="501">
        <f t="shared" si="7"/>
        <v>0</v>
      </c>
      <c r="J47" s="501"/>
      <c r="K47" s="513"/>
      <c r="L47" s="505">
        <f t="shared" si="2"/>
        <v>0</v>
      </c>
      <c r="M47" s="513"/>
      <c r="N47" s="505">
        <f t="shared" si="4"/>
        <v>0</v>
      </c>
      <c r="O47" s="505">
        <f t="shared" si="5"/>
        <v>0</v>
      </c>
      <c r="P47" s="279"/>
      <c r="R47" s="244"/>
      <c r="S47" s="244"/>
      <c r="T47" s="244"/>
      <c r="U47" s="244"/>
    </row>
    <row r="48" spans="2:21">
      <c r="B48" s="145" t="str">
        <f t="shared" si="0"/>
        <v/>
      </c>
      <c r="C48" s="496">
        <f>IF(D11="","-",+C47+1)</f>
        <v>2042</v>
      </c>
      <c r="D48" s="509">
        <f>IF(F47+SUM(E$17:E47)=D$10,F47,D$10-SUM(E$17:E47))</f>
        <v>116371.10733409133</v>
      </c>
      <c r="E48" s="510">
        <f>IF(+I14&lt;F47,I14,D48)</f>
        <v>18080.970588235294</v>
      </c>
      <c r="F48" s="511">
        <f t="shared" si="11"/>
        <v>98290.136745856027</v>
      </c>
      <c r="G48" s="512">
        <f t="shared" si="12"/>
        <v>29502.789360277508</v>
      </c>
      <c r="H48" s="478">
        <f t="shared" si="13"/>
        <v>29502.789360277508</v>
      </c>
      <c r="I48" s="501">
        <f t="shared" si="7"/>
        <v>0</v>
      </c>
      <c r="J48" s="501"/>
      <c r="K48" s="513"/>
      <c r="L48" s="505">
        <f t="shared" si="2"/>
        <v>0</v>
      </c>
      <c r="M48" s="513"/>
      <c r="N48" s="505">
        <f t="shared" si="4"/>
        <v>0</v>
      </c>
      <c r="O48" s="505">
        <f t="shared" si="5"/>
        <v>0</v>
      </c>
      <c r="P48" s="279"/>
      <c r="R48" s="244"/>
      <c r="S48" s="244"/>
      <c r="T48" s="244"/>
      <c r="U48" s="244"/>
    </row>
    <row r="49" spans="2:21">
      <c r="B49" s="145" t="str">
        <f t="shared" si="0"/>
        <v/>
      </c>
      <c r="C49" s="496">
        <f>IF(D11="","-",+C48+1)</f>
        <v>2043</v>
      </c>
      <c r="D49" s="509">
        <f>IF(F48+SUM(E$17:E48)=D$10,F48,D$10-SUM(E$17:E48))</f>
        <v>98290.136745856027</v>
      </c>
      <c r="E49" s="510">
        <f>IF(+I14&lt;F48,I14,D49)</f>
        <v>18080.970588235294</v>
      </c>
      <c r="F49" s="511">
        <f t="shared" si="11"/>
        <v>80209.166157620726</v>
      </c>
      <c r="G49" s="512">
        <f t="shared" si="12"/>
        <v>27578.664023479083</v>
      </c>
      <c r="H49" s="478">
        <f t="shared" si="13"/>
        <v>27578.664023479083</v>
      </c>
      <c r="I49" s="501">
        <f t="shared" si="7"/>
        <v>0</v>
      </c>
      <c r="J49" s="501"/>
      <c r="K49" s="513"/>
      <c r="L49" s="505">
        <f t="shared" si="2"/>
        <v>0</v>
      </c>
      <c r="M49" s="513"/>
      <c r="N49" s="505">
        <f t="shared" si="4"/>
        <v>0</v>
      </c>
      <c r="O49" s="505">
        <f t="shared" si="5"/>
        <v>0</v>
      </c>
      <c r="P49" s="279"/>
      <c r="R49" s="244"/>
      <c r="S49" s="244"/>
      <c r="T49" s="244"/>
      <c r="U49" s="244"/>
    </row>
    <row r="50" spans="2:21">
      <c r="B50" s="145" t="str">
        <f t="shared" ref="B50:B73" si="14">IF(D50=F49,"","IU")</f>
        <v/>
      </c>
      <c r="C50" s="496">
        <f>IF(D11="","-",+C49+1)</f>
        <v>2044</v>
      </c>
      <c r="D50" s="509">
        <f>IF(F49+SUM(E$17:E49)=D$10,F49,D$10-SUM(E$17:E49))</f>
        <v>80209.166157620726</v>
      </c>
      <c r="E50" s="510">
        <f>IF(+I14&lt;F49,I14,D50)</f>
        <v>18080.970588235294</v>
      </c>
      <c r="F50" s="511">
        <f t="shared" si="11"/>
        <v>62128.195569385432</v>
      </c>
      <c r="G50" s="512">
        <f t="shared" si="12"/>
        <v>25654.538686680651</v>
      </c>
      <c r="H50" s="478">
        <f t="shared" si="13"/>
        <v>25654.538686680651</v>
      </c>
      <c r="I50" s="501">
        <f t="shared" ref="I50:I73" si="15">H50-G50</f>
        <v>0</v>
      </c>
      <c r="J50" s="501"/>
      <c r="K50" s="513"/>
      <c r="L50" s="505">
        <f t="shared" ref="L50:L73" si="16">IF(K50&lt;&gt;0,+G50-K50,0)</f>
        <v>0</v>
      </c>
      <c r="M50" s="513"/>
      <c r="N50" s="505">
        <f t="shared" ref="N50:N73" si="17">IF(M50&lt;&gt;0,+H50-M50,0)</f>
        <v>0</v>
      </c>
      <c r="O50" s="505">
        <f t="shared" ref="O50:O73" si="18">+N50-L50</f>
        <v>0</v>
      </c>
      <c r="P50" s="279"/>
      <c r="R50" s="244"/>
      <c r="S50" s="244"/>
      <c r="T50" s="244"/>
      <c r="U50" s="244"/>
    </row>
    <row r="51" spans="2:21">
      <c r="B51" s="145" t="str">
        <f t="shared" si="14"/>
        <v/>
      </c>
      <c r="C51" s="496">
        <f>IF(D11="","-",+C50+1)</f>
        <v>2045</v>
      </c>
      <c r="D51" s="509">
        <f>IF(F50+SUM(E$17:E50)=D$10,F50,D$10-SUM(E$17:E50))</f>
        <v>62128.195569385432</v>
      </c>
      <c r="E51" s="510">
        <f>IF(+I14&lt;F50,I14,D51)</f>
        <v>18080.970588235294</v>
      </c>
      <c r="F51" s="511">
        <f t="shared" ref="F51:F73" si="19">+D51-E51</f>
        <v>44047.224981150139</v>
      </c>
      <c r="G51" s="512">
        <f t="shared" si="12"/>
        <v>23730.413349882227</v>
      </c>
      <c r="H51" s="478">
        <f t="shared" si="13"/>
        <v>23730.413349882227</v>
      </c>
      <c r="I51" s="501">
        <f t="shared" si="15"/>
        <v>0</v>
      </c>
      <c r="J51" s="501"/>
      <c r="K51" s="513"/>
      <c r="L51" s="505">
        <f t="shared" si="16"/>
        <v>0</v>
      </c>
      <c r="M51" s="513"/>
      <c r="N51" s="505">
        <f t="shared" si="17"/>
        <v>0</v>
      </c>
      <c r="O51" s="505">
        <f t="shared" si="18"/>
        <v>0</v>
      </c>
      <c r="P51" s="279"/>
      <c r="R51" s="244"/>
      <c r="S51" s="244"/>
      <c r="T51" s="244"/>
      <c r="U51" s="244"/>
    </row>
    <row r="52" spans="2:21">
      <c r="B52" s="145" t="str">
        <f t="shared" si="14"/>
        <v/>
      </c>
      <c r="C52" s="496">
        <f>IF(D11="","-",+C51+1)</f>
        <v>2046</v>
      </c>
      <c r="D52" s="509">
        <f>IF(F51+SUM(E$17:E51)=D$10,F51,D$10-SUM(E$17:E51))</f>
        <v>44047.224981150139</v>
      </c>
      <c r="E52" s="510">
        <f>IF(+I14&lt;F51,I14,D52)</f>
        <v>18080.970588235294</v>
      </c>
      <c r="F52" s="511">
        <f t="shared" si="19"/>
        <v>25966.254392914845</v>
      </c>
      <c r="G52" s="512">
        <f t="shared" si="12"/>
        <v>21806.288013083798</v>
      </c>
      <c r="H52" s="478">
        <f t="shared" si="13"/>
        <v>21806.288013083798</v>
      </c>
      <c r="I52" s="501">
        <f t="shared" si="15"/>
        <v>0</v>
      </c>
      <c r="J52" s="501"/>
      <c r="K52" s="513"/>
      <c r="L52" s="505">
        <f t="shared" si="16"/>
        <v>0</v>
      </c>
      <c r="M52" s="513"/>
      <c r="N52" s="505">
        <f t="shared" si="17"/>
        <v>0</v>
      </c>
      <c r="O52" s="505">
        <f t="shared" si="18"/>
        <v>0</v>
      </c>
      <c r="P52" s="279"/>
      <c r="R52" s="244"/>
      <c r="S52" s="244"/>
      <c r="T52" s="244"/>
      <c r="U52" s="244"/>
    </row>
    <row r="53" spans="2:21">
      <c r="B53" s="145" t="str">
        <f t="shared" si="14"/>
        <v/>
      </c>
      <c r="C53" s="496">
        <f>IF(D11="","-",+C52+1)</f>
        <v>2047</v>
      </c>
      <c r="D53" s="509">
        <f>IF(F52+SUM(E$17:E52)=D$10,F52,D$10-SUM(E$17:E52))</f>
        <v>25966.254392914845</v>
      </c>
      <c r="E53" s="510">
        <f>IF(+I14&lt;F52,I14,D53)</f>
        <v>18080.970588235294</v>
      </c>
      <c r="F53" s="511">
        <f t="shared" si="19"/>
        <v>7885.2838046795514</v>
      </c>
      <c r="G53" s="512">
        <f t="shared" si="12"/>
        <v>19882.16267628537</v>
      </c>
      <c r="H53" s="478">
        <f t="shared" si="13"/>
        <v>19882.16267628537</v>
      </c>
      <c r="I53" s="501">
        <f t="shared" si="15"/>
        <v>0</v>
      </c>
      <c r="J53" s="501"/>
      <c r="K53" s="513"/>
      <c r="L53" s="505">
        <f t="shared" si="16"/>
        <v>0</v>
      </c>
      <c r="M53" s="513"/>
      <c r="N53" s="505">
        <f t="shared" si="17"/>
        <v>0</v>
      </c>
      <c r="O53" s="505">
        <f t="shared" si="18"/>
        <v>0</v>
      </c>
      <c r="P53" s="279"/>
      <c r="R53" s="244"/>
      <c r="S53" s="244"/>
      <c r="T53" s="244"/>
      <c r="U53" s="244"/>
    </row>
    <row r="54" spans="2:21">
      <c r="B54" s="145" t="str">
        <f t="shared" si="14"/>
        <v/>
      </c>
      <c r="C54" s="496">
        <f>IF(D11="","-",+C53+1)</f>
        <v>2048</v>
      </c>
      <c r="D54" s="509">
        <f>IF(F53+SUM(E$17:E53)=D$10,F53,D$10-SUM(E$17:E53))</f>
        <v>7885.2838046795514</v>
      </c>
      <c r="E54" s="510">
        <f>IF(+I14&lt;F53,I14,D54)</f>
        <v>7885.2838046795514</v>
      </c>
      <c r="F54" s="511">
        <f t="shared" si="19"/>
        <v>0</v>
      </c>
      <c r="G54" s="512">
        <f t="shared" si="12"/>
        <v>8304.8485145049835</v>
      </c>
      <c r="H54" s="478">
        <f t="shared" si="13"/>
        <v>8304.8485145049835</v>
      </c>
      <c r="I54" s="501">
        <f t="shared" si="15"/>
        <v>0</v>
      </c>
      <c r="J54" s="501"/>
      <c r="K54" s="513"/>
      <c r="L54" s="505">
        <f t="shared" si="16"/>
        <v>0</v>
      </c>
      <c r="M54" s="513"/>
      <c r="N54" s="505">
        <f t="shared" si="17"/>
        <v>0</v>
      </c>
      <c r="O54" s="505">
        <f t="shared" si="18"/>
        <v>0</v>
      </c>
      <c r="P54" s="279"/>
      <c r="R54" s="244"/>
      <c r="S54" s="244"/>
      <c r="T54" s="244"/>
      <c r="U54" s="244"/>
    </row>
    <row r="55" spans="2:21">
      <c r="B55" s="145" t="str">
        <f t="shared" si="14"/>
        <v/>
      </c>
      <c r="C55" s="496">
        <f>IF(D11="","-",+C54+1)</f>
        <v>2049</v>
      </c>
      <c r="D55" s="509">
        <f>IF(F54+SUM(E$17:E54)=D$10,F54,D$10-SUM(E$17:E54))</f>
        <v>0</v>
      </c>
      <c r="E55" s="510">
        <f>IF(+I14&lt;F54,I14,D55)</f>
        <v>0</v>
      </c>
      <c r="F55" s="511">
        <f t="shared" si="19"/>
        <v>0</v>
      </c>
      <c r="G55" s="512">
        <f t="shared" si="12"/>
        <v>0</v>
      </c>
      <c r="H55" s="478">
        <f t="shared" si="13"/>
        <v>0</v>
      </c>
      <c r="I55" s="501">
        <f t="shared" si="15"/>
        <v>0</v>
      </c>
      <c r="J55" s="501"/>
      <c r="K55" s="513"/>
      <c r="L55" s="505">
        <f t="shared" si="16"/>
        <v>0</v>
      </c>
      <c r="M55" s="513"/>
      <c r="N55" s="505">
        <f t="shared" si="17"/>
        <v>0</v>
      </c>
      <c r="O55" s="505">
        <f t="shared" si="18"/>
        <v>0</v>
      </c>
      <c r="P55" s="279"/>
      <c r="R55" s="244"/>
      <c r="S55" s="244"/>
      <c r="T55" s="244"/>
      <c r="U55" s="244"/>
    </row>
    <row r="56" spans="2:21">
      <c r="B56" s="145" t="str">
        <f t="shared" si="14"/>
        <v/>
      </c>
      <c r="C56" s="496">
        <f>IF(D11="","-",+C55+1)</f>
        <v>2050</v>
      </c>
      <c r="D56" s="509">
        <f>IF(F55+SUM(E$17:E55)=D$10,F55,D$10-SUM(E$17:E55))</f>
        <v>0</v>
      </c>
      <c r="E56" s="510">
        <f>IF(+I14&lt;F55,I14,D56)</f>
        <v>0</v>
      </c>
      <c r="F56" s="511">
        <f t="shared" si="19"/>
        <v>0</v>
      </c>
      <c r="G56" s="512">
        <f t="shared" si="12"/>
        <v>0</v>
      </c>
      <c r="H56" s="478">
        <f t="shared" si="13"/>
        <v>0</v>
      </c>
      <c r="I56" s="501">
        <f t="shared" si="15"/>
        <v>0</v>
      </c>
      <c r="J56" s="501"/>
      <c r="K56" s="513"/>
      <c r="L56" s="505">
        <f t="shared" si="16"/>
        <v>0</v>
      </c>
      <c r="M56" s="513"/>
      <c r="N56" s="505">
        <f t="shared" si="17"/>
        <v>0</v>
      </c>
      <c r="O56" s="505">
        <f t="shared" si="18"/>
        <v>0</v>
      </c>
      <c r="P56" s="279"/>
      <c r="R56" s="244"/>
      <c r="S56" s="244"/>
      <c r="T56" s="244"/>
      <c r="U56" s="244"/>
    </row>
    <row r="57" spans="2:21">
      <c r="B57" s="145" t="str">
        <f t="shared" si="14"/>
        <v/>
      </c>
      <c r="C57" s="496">
        <f>IF(D11="","-",+C56+1)</f>
        <v>2051</v>
      </c>
      <c r="D57" s="509">
        <f>IF(F56+SUM(E$17:E56)=D$10,F56,D$10-SUM(E$17:E56))</f>
        <v>0</v>
      </c>
      <c r="E57" s="510">
        <f>IF(+I14&lt;F56,I14,D57)</f>
        <v>0</v>
      </c>
      <c r="F57" s="511">
        <f t="shared" si="19"/>
        <v>0</v>
      </c>
      <c r="G57" s="512">
        <f t="shared" si="12"/>
        <v>0</v>
      </c>
      <c r="H57" s="478">
        <f t="shared" si="13"/>
        <v>0</v>
      </c>
      <c r="I57" s="501">
        <f t="shared" si="15"/>
        <v>0</v>
      </c>
      <c r="J57" s="501"/>
      <c r="K57" s="513"/>
      <c r="L57" s="505">
        <f t="shared" si="16"/>
        <v>0</v>
      </c>
      <c r="M57" s="513"/>
      <c r="N57" s="505">
        <f t="shared" si="17"/>
        <v>0</v>
      </c>
      <c r="O57" s="505">
        <f t="shared" si="18"/>
        <v>0</v>
      </c>
      <c r="P57" s="279"/>
      <c r="R57" s="244"/>
      <c r="S57" s="244"/>
      <c r="T57" s="244"/>
      <c r="U57" s="244"/>
    </row>
    <row r="58" spans="2:21">
      <c r="B58" s="145" t="str">
        <f t="shared" si="14"/>
        <v/>
      </c>
      <c r="C58" s="496">
        <f>IF(D11="","-",+C57+1)</f>
        <v>2052</v>
      </c>
      <c r="D58" s="509">
        <f>IF(F57+SUM(E$17:E57)=D$10,F57,D$10-SUM(E$17:E57))</f>
        <v>0</v>
      </c>
      <c r="E58" s="510">
        <f>IF(+I14&lt;F57,I14,D58)</f>
        <v>0</v>
      </c>
      <c r="F58" s="511">
        <f t="shared" si="19"/>
        <v>0</v>
      </c>
      <c r="G58" s="512">
        <f t="shared" si="12"/>
        <v>0</v>
      </c>
      <c r="H58" s="478">
        <f t="shared" si="13"/>
        <v>0</v>
      </c>
      <c r="I58" s="501">
        <f t="shared" si="15"/>
        <v>0</v>
      </c>
      <c r="J58" s="501"/>
      <c r="K58" s="513"/>
      <c r="L58" s="505">
        <f t="shared" si="16"/>
        <v>0</v>
      </c>
      <c r="M58" s="513"/>
      <c r="N58" s="505">
        <f t="shared" si="17"/>
        <v>0</v>
      </c>
      <c r="O58" s="505">
        <f t="shared" si="18"/>
        <v>0</v>
      </c>
      <c r="P58" s="279"/>
      <c r="R58" s="244"/>
      <c r="S58" s="244"/>
      <c r="T58" s="244"/>
      <c r="U58" s="244"/>
    </row>
    <row r="59" spans="2:21">
      <c r="B59" s="145" t="str">
        <f t="shared" si="14"/>
        <v/>
      </c>
      <c r="C59" s="496">
        <f>IF(D11="","-",+C58+1)</f>
        <v>2053</v>
      </c>
      <c r="D59" s="509">
        <f>IF(F58+SUM(E$17:E58)=D$10,F58,D$10-SUM(E$17:E58))</f>
        <v>0</v>
      </c>
      <c r="E59" s="510">
        <f>IF(+I14&lt;F58,I14,D59)</f>
        <v>0</v>
      </c>
      <c r="F59" s="511">
        <f t="shared" si="19"/>
        <v>0</v>
      </c>
      <c r="G59" s="512">
        <f t="shared" si="12"/>
        <v>0</v>
      </c>
      <c r="H59" s="478">
        <f t="shared" si="13"/>
        <v>0</v>
      </c>
      <c r="I59" s="501">
        <f t="shared" si="15"/>
        <v>0</v>
      </c>
      <c r="J59" s="501"/>
      <c r="K59" s="513"/>
      <c r="L59" s="505">
        <f t="shared" si="16"/>
        <v>0</v>
      </c>
      <c r="M59" s="513"/>
      <c r="N59" s="505">
        <f t="shared" si="17"/>
        <v>0</v>
      </c>
      <c r="O59" s="505">
        <f t="shared" si="18"/>
        <v>0</v>
      </c>
      <c r="P59" s="279"/>
      <c r="R59" s="244"/>
      <c r="S59" s="244"/>
      <c r="T59" s="244"/>
      <c r="U59" s="244"/>
    </row>
    <row r="60" spans="2:21">
      <c r="B60" s="145" t="str">
        <f t="shared" si="14"/>
        <v/>
      </c>
      <c r="C60" s="496">
        <f>IF(D11="","-",+C59+1)</f>
        <v>2054</v>
      </c>
      <c r="D60" s="509">
        <f>IF(F59+SUM(E$17:E59)=D$10,F59,D$10-SUM(E$17:E59))</f>
        <v>0</v>
      </c>
      <c r="E60" s="510">
        <f>IF(+I14&lt;F59,I14,D60)</f>
        <v>0</v>
      </c>
      <c r="F60" s="511">
        <f t="shared" si="19"/>
        <v>0</v>
      </c>
      <c r="G60" s="512">
        <f t="shared" si="12"/>
        <v>0</v>
      </c>
      <c r="H60" s="478">
        <f t="shared" si="13"/>
        <v>0</v>
      </c>
      <c r="I60" s="501">
        <f t="shared" si="15"/>
        <v>0</v>
      </c>
      <c r="J60" s="501"/>
      <c r="K60" s="513"/>
      <c r="L60" s="505">
        <f t="shared" si="16"/>
        <v>0</v>
      </c>
      <c r="M60" s="513"/>
      <c r="N60" s="505">
        <f t="shared" si="17"/>
        <v>0</v>
      </c>
      <c r="O60" s="505">
        <f t="shared" si="18"/>
        <v>0</v>
      </c>
      <c r="P60" s="279"/>
      <c r="R60" s="244"/>
      <c r="S60" s="244"/>
      <c r="T60" s="244"/>
      <c r="U60" s="244"/>
    </row>
    <row r="61" spans="2:21">
      <c r="B61" s="145" t="str">
        <f t="shared" si="14"/>
        <v/>
      </c>
      <c r="C61" s="496">
        <f>IF(D11="","-",+C60+1)</f>
        <v>2055</v>
      </c>
      <c r="D61" s="509">
        <f>IF(F60+SUM(E$17:E60)=D$10,F60,D$10-SUM(E$17:E60))</f>
        <v>0</v>
      </c>
      <c r="E61" s="510">
        <f>IF(+I14&lt;F60,I14,D61)</f>
        <v>0</v>
      </c>
      <c r="F61" s="511">
        <f t="shared" si="19"/>
        <v>0</v>
      </c>
      <c r="G61" s="512">
        <f t="shared" si="12"/>
        <v>0</v>
      </c>
      <c r="H61" s="478">
        <f t="shared" si="13"/>
        <v>0</v>
      </c>
      <c r="I61" s="501">
        <f t="shared" si="15"/>
        <v>0</v>
      </c>
      <c r="J61" s="501"/>
      <c r="K61" s="513"/>
      <c r="L61" s="505">
        <f t="shared" si="16"/>
        <v>0</v>
      </c>
      <c r="M61" s="513"/>
      <c r="N61" s="505">
        <f t="shared" si="17"/>
        <v>0</v>
      </c>
      <c r="O61" s="505">
        <f t="shared" si="18"/>
        <v>0</v>
      </c>
      <c r="P61" s="279"/>
      <c r="R61" s="244"/>
      <c r="S61" s="244"/>
      <c r="T61" s="244"/>
      <c r="U61" s="244"/>
    </row>
    <row r="62" spans="2:21">
      <c r="B62" s="145" t="str">
        <f t="shared" si="14"/>
        <v/>
      </c>
      <c r="C62" s="496">
        <f>IF(D11="","-",+C61+1)</f>
        <v>2056</v>
      </c>
      <c r="D62" s="509">
        <f>IF(F61+SUM(E$17:E61)=D$10,F61,D$10-SUM(E$17:E61))</f>
        <v>0</v>
      </c>
      <c r="E62" s="510">
        <f>IF(+I14&lt;F61,I14,D62)</f>
        <v>0</v>
      </c>
      <c r="F62" s="511">
        <f t="shared" si="19"/>
        <v>0</v>
      </c>
      <c r="G62" s="524">
        <f t="shared" si="12"/>
        <v>0</v>
      </c>
      <c r="H62" s="478">
        <f t="shared" si="13"/>
        <v>0</v>
      </c>
      <c r="I62" s="501">
        <f t="shared" si="15"/>
        <v>0</v>
      </c>
      <c r="J62" s="501"/>
      <c r="K62" s="513"/>
      <c r="L62" s="505">
        <f t="shared" si="16"/>
        <v>0</v>
      </c>
      <c r="M62" s="513"/>
      <c r="N62" s="505">
        <f t="shared" si="17"/>
        <v>0</v>
      </c>
      <c r="O62" s="505">
        <f t="shared" si="18"/>
        <v>0</v>
      </c>
      <c r="P62" s="279"/>
      <c r="R62" s="244"/>
      <c r="S62" s="244"/>
      <c r="T62" s="244"/>
      <c r="U62" s="244"/>
    </row>
    <row r="63" spans="2:21">
      <c r="B63" s="145" t="str">
        <f t="shared" si="14"/>
        <v/>
      </c>
      <c r="C63" s="496">
        <f>IF(D11="","-",+C62+1)</f>
        <v>2057</v>
      </c>
      <c r="D63" s="509">
        <f>IF(F62+SUM(E$17:E62)=D$10,F62,D$10-SUM(E$17:E62))</f>
        <v>0</v>
      </c>
      <c r="E63" s="510">
        <f>IF(+I14&lt;F62,I14,D63)</f>
        <v>0</v>
      </c>
      <c r="F63" s="511">
        <f t="shared" si="19"/>
        <v>0</v>
      </c>
      <c r="G63" s="524">
        <f t="shared" si="12"/>
        <v>0</v>
      </c>
      <c r="H63" s="478">
        <f t="shared" si="13"/>
        <v>0</v>
      </c>
      <c r="I63" s="501">
        <f t="shared" si="15"/>
        <v>0</v>
      </c>
      <c r="J63" s="501"/>
      <c r="K63" s="513"/>
      <c r="L63" s="505">
        <f t="shared" si="16"/>
        <v>0</v>
      </c>
      <c r="M63" s="513"/>
      <c r="N63" s="505">
        <f t="shared" si="17"/>
        <v>0</v>
      </c>
      <c r="O63" s="505">
        <f t="shared" si="18"/>
        <v>0</v>
      </c>
      <c r="P63" s="279"/>
      <c r="R63" s="244"/>
      <c r="S63" s="244"/>
      <c r="T63" s="244"/>
      <c r="U63" s="244"/>
    </row>
    <row r="64" spans="2:21">
      <c r="B64" s="145" t="str">
        <f t="shared" si="14"/>
        <v/>
      </c>
      <c r="C64" s="496">
        <f>IF(D11="","-",+C63+1)</f>
        <v>2058</v>
      </c>
      <c r="D64" s="509">
        <f>IF(F63+SUM(E$17:E63)=D$10,F63,D$10-SUM(E$17:E63))</f>
        <v>0</v>
      </c>
      <c r="E64" s="510">
        <f>IF(+I14&lt;F63,I14,D64)</f>
        <v>0</v>
      </c>
      <c r="F64" s="511">
        <f t="shared" si="19"/>
        <v>0</v>
      </c>
      <c r="G64" s="524">
        <f t="shared" si="12"/>
        <v>0</v>
      </c>
      <c r="H64" s="478">
        <f t="shared" si="13"/>
        <v>0</v>
      </c>
      <c r="I64" s="501">
        <f t="shared" si="15"/>
        <v>0</v>
      </c>
      <c r="J64" s="501"/>
      <c r="K64" s="513"/>
      <c r="L64" s="505">
        <f t="shared" si="16"/>
        <v>0</v>
      </c>
      <c r="M64" s="513"/>
      <c r="N64" s="505">
        <f t="shared" si="17"/>
        <v>0</v>
      </c>
      <c r="O64" s="505">
        <f t="shared" si="18"/>
        <v>0</v>
      </c>
      <c r="P64" s="279"/>
      <c r="R64" s="244"/>
      <c r="S64" s="244"/>
      <c r="T64" s="244"/>
      <c r="U64" s="244"/>
    </row>
    <row r="65" spans="2:21">
      <c r="B65" s="145" t="str">
        <f t="shared" si="14"/>
        <v/>
      </c>
      <c r="C65" s="496">
        <f>IF(D11="","-",+C64+1)</f>
        <v>2059</v>
      </c>
      <c r="D65" s="509">
        <f>IF(F64+SUM(E$17:E64)=D$10,F64,D$10-SUM(E$17:E64))</f>
        <v>0</v>
      </c>
      <c r="E65" s="510">
        <f>IF(+I14&lt;F64,I14,D65)</f>
        <v>0</v>
      </c>
      <c r="F65" s="511">
        <f t="shared" si="19"/>
        <v>0</v>
      </c>
      <c r="G65" s="524">
        <f t="shared" si="12"/>
        <v>0</v>
      </c>
      <c r="H65" s="478">
        <f t="shared" si="13"/>
        <v>0</v>
      </c>
      <c r="I65" s="501">
        <f t="shared" si="15"/>
        <v>0</v>
      </c>
      <c r="J65" s="501"/>
      <c r="K65" s="513"/>
      <c r="L65" s="505">
        <f t="shared" si="16"/>
        <v>0</v>
      </c>
      <c r="M65" s="513"/>
      <c r="N65" s="505">
        <f t="shared" si="17"/>
        <v>0</v>
      </c>
      <c r="O65" s="505">
        <f t="shared" si="18"/>
        <v>0</v>
      </c>
      <c r="P65" s="279"/>
      <c r="R65" s="244"/>
      <c r="S65" s="244"/>
      <c r="T65" s="244"/>
      <c r="U65" s="244"/>
    </row>
    <row r="66" spans="2:21">
      <c r="B66" s="145" t="str">
        <f t="shared" si="14"/>
        <v/>
      </c>
      <c r="C66" s="496">
        <f>IF(D11="","-",+C65+1)</f>
        <v>2060</v>
      </c>
      <c r="D66" s="509">
        <f>IF(F65+SUM(E$17:E65)=D$10,F65,D$10-SUM(E$17:E65))</f>
        <v>0</v>
      </c>
      <c r="E66" s="510">
        <f>IF(+I14&lt;F65,I14,D66)</f>
        <v>0</v>
      </c>
      <c r="F66" s="511">
        <f t="shared" si="19"/>
        <v>0</v>
      </c>
      <c r="G66" s="524">
        <f t="shared" si="12"/>
        <v>0</v>
      </c>
      <c r="H66" s="478">
        <f t="shared" si="13"/>
        <v>0</v>
      </c>
      <c r="I66" s="501">
        <f t="shared" si="15"/>
        <v>0</v>
      </c>
      <c r="J66" s="501"/>
      <c r="K66" s="513"/>
      <c r="L66" s="505">
        <f t="shared" si="16"/>
        <v>0</v>
      </c>
      <c r="M66" s="513"/>
      <c r="N66" s="505">
        <f t="shared" si="17"/>
        <v>0</v>
      </c>
      <c r="O66" s="505">
        <f t="shared" si="18"/>
        <v>0</v>
      </c>
      <c r="P66" s="279"/>
      <c r="R66" s="244"/>
      <c r="S66" s="244"/>
      <c r="T66" s="244"/>
      <c r="U66" s="244"/>
    </row>
    <row r="67" spans="2:21">
      <c r="B67" s="145" t="str">
        <f t="shared" si="14"/>
        <v/>
      </c>
      <c r="C67" s="496">
        <f>IF(D11="","-",+C66+1)</f>
        <v>2061</v>
      </c>
      <c r="D67" s="509">
        <f>IF(F66+SUM(E$17:E66)=D$10,F66,D$10-SUM(E$17:E66))</f>
        <v>0</v>
      </c>
      <c r="E67" s="510">
        <f>IF(+I14&lt;F66,I14,D67)</f>
        <v>0</v>
      </c>
      <c r="F67" s="511">
        <f t="shared" si="19"/>
        <v>0</v>
      </c>
      <c r="G67" s="524">
        <f t="shared" si="12"/>
        <v>0</v>
      </c>
      <c r="H67" s="478">
        <f t="shared" si="13"/>
        <v>0</v>
      </c>
      <c r="I67" s="501">
        <f t="shared" si="15"/>
        <v>0</v>
      </c>
      <c r="J67" s="501"/>
      <c r="K67" s="513"/>
      <c r="L67" s="505">
        <f t="shared" si="16"/>
        <v>0</v>
      </c>
      <c r="M67" s="513"/>
      <c r="N67" s="505">
        <f t="shared" si="17"/>
        <v>0</v>
      </c>
      <c r="O67" s="505">
        <f t="shared" si="18"/>
        <v>0</v>
      </c>
      <c r="P67" s="279"/>
      <c r="R67" s="244"/>
      <c r="S67" s="244"/>
      <c r="T67" s="244"/>
      <c r="U67" s="244"/>
    </row>
    <row r="68" spans="2:21">
      <c r="B68" s="145" t="str">
        <f t="shared" si="14"/>
        <v/>
      </c>
      <c r="C68" s="496">
        <f>IF(D11="","-",+C67+1)</f>
        <v>2062</v>
      </c>
      <c r="D68" s="509">
        <f>IF(F67+SUM(E$17:E67)=D$10,F67,D$10-SUM(E$17:E67))</f>
        <v>0</v>
      </c>
      <c r="E68" s="510">
        <f>IF(+I14&lt;F67,I14,D68)</f>
        <v>0</v>
      </c>
      <c r="F68" s="511">
        <f t="shared" si="19"/>
        <v>0</v>
      </c>
      <c r="G68" s="524">
        <f t="shared" si="12"/>
        <v>0</v>
      </c>
      <c r="H68" s="478">
        <f t="shared" si="13"/>
        <v>0</v>
      </c>
      <c r="I68" s="501">
        <f t="shared" si="15"/>
        <v>0</v>
      </c>
      <c r="J68" s="501"/>
      <c r="K68" s="513"/>
      <c r="L68" s="505">
        <f t="shared" si="16"/>
        <v>0</v>
      </c>
      <c r="M68" s="513"/>
      <c r="N68" s="505">
        <f t="shared" si="17"/>
        <v>0</v>
      </c>
      <c r="O68" s="505">
        <f t="shared" si="18"/>
        <v>0</v>
      </c>
      <c r="P68" s="279"/>
      <c r="R68" s="244"/>
      <c r="S68" s="244"/>
      <c r="T68" s="244"/>
      <c r="U68" s="244"/>
    </row>
    <row r="69" spans="2:21">
      <c r="B69" s="145" t="str">
        <f t="shared" si="14"/>
        <v/>
      </c>
      <c r="C69" s="496">
        <f>IF(D11="","-",+C68+1)</f>
        <v>2063</v>
      </c>
      <c r="D69" s="509">
        <f>IF(F68+SUM(E$17:E68)=D$10,F68,D$10-SUM(E$17:E68))</f>
        <v>0</v>
      </c>
      <c r="E69" s="510">
        <f>IF(+I14&lt;F68,I14,D69)</f>
        <v>0</v>
      </c>
      <c r="F69" s="511">
        <f t="shared" si="19"/>
        <v>0</v>
      </c>
      <c r="G69" s="524">
        <f t="shared" si="12"/>
        <v>0</v>
      </c>
      <c r="H69" s="478">
        <f t="shared" si="13"/>
        <v>0</v>
      </c>
      <c r="I69" s="501">
        <f t="shared" si="15"/>
        <v>0</v>
      </c>
      <c r="J69" s="501"/>
      <c r="K69" s="513"/>
      <c r="L69" s="505">
        <f t="shared" si="16"/>
        <v>0</v>
      </c>
      <c r="M69" s="513"/>
      <c r="N69" s="505">
        <f t="shared" si="17"/>
        <v>0</v>
      </c>
      <c r="O69" s="505">
        <f t="shared" si="18"/>
        <v>0</v>
      </c>
      <c r="P69" s="279"/>
      <c r="R69" s="244"/>
      <c r="S69" s="244"/>
      <c r="T69" s="244"/>
      <c r="U69" s="244"/>
    </row>
    <row r="70" spans="2:21">
      <c r="B70" s="145" t="str">
        <f t="shared" si="14"/>
        <v/>
      </c>
      <c r="C70" s="496">
        <f>IF(D11="","-",+C69+1)</f>
        <v>2064</v>
      </c>
      <c r="D70" s="509">
        <f>IF(F69+SUM(E$17:E69)=D$10,F69,D$10-SUM(E$17:E69))</f>
        <v>0</v>
      </c>
      <c r="E70" s="510">
        <f>IF(+I14&lt;F69,I14,D70)</f>
        <v>0</v>
      </c>
      <c r="F70" s="511">
        <f t="shared" si="19"/>
        <v>0</v>
      </c>
      <c r="G70" s="524">
        <f t="shared" si="12"/>
        <v>0</v>
      </c>
      <c r="H70" s="478">
        <f t="shared" si="13"/>
        <v>0</v>
      </c>
      <c r="I70" s="501">
        <f t="shared" si="15"/>
        <v>0</v>
      </c>
      <c r="J70" s="501"/>
      <c r="K70" s="513"/>
      <c r="L70" s="505">
        <f t="shared" si="16"/>
        <v>0</v>
      </c>
      <c r="M70" s="513"/>
      <c r="N70" s="505">
        <f t="shared" si="17"/>
        <v>0</v>
      </c>
      <c r="O70" s="505">
        <f t="shared" si="18"/>
        <v>0</v>
      </c>
      <c r="P70" s="279"/>
      <c r="R70" s="244"/>
      <c r="S70" s="244"/>
      <c r="T70" s="244"/>
      <c r="U70" s="244"/>
    </row>
    <row r="71" spans="2:21">
      <c r="B71" s="145" t="str">
        <f t="shared" si="14"/>
        <v/>
      </c>
      <c r="C71" s="496">
        <f>IF(D11="","-",+C70+1)</f>
        <v>2065</v>
      </c>
      <c r="D71" s="509">
        <f>IF(F70+SUM(E$17:E70)=D$10,F70,D$10-SUM(E$17:E70))</f>
        <v>0</v>
      </c>
      <c r="E71" s="510">
        <f>IF(+I14&lt;F70,I14,D71)</f>
        <v>0</v>
      </c>
      <c r="F71" s="511">
        <f t="shared" si="19"/>
        <v>0</v>
      </c>
      <c r="G71" s="524">
        <f t="shared" si="12"/>
        <v>0</v>
      </c>
      <c r="H71" s="478">
        <f t="shared" si="13"/>
        <v>0</v>
      </c>
      <c r="I71" s="501">
        <f t="shared" si="15"/>
        <v>0</v>
      </c>
      <c r="J71" s="501"/>
      <c r="K71" s="513"/>
      <c r="L71" s="505">
        <f t="shared" si="16"/>
        <v>0</v>
      </c>
      <c r="M71" s="513"/>
      <c r="N71" s="505">
        <f t="shared" si="17"/>
        <v>0</v>
      </c>
      <c r="O71" s="505">
        <f t="shared" si="18"/>
        <v>0</v>
      </c>
      <c r="P71" s="279"/>
      <c r="R71" s="244"/>
      <c r="S71" s="244"/>
      <c r="T71" s="244"/>
      <c r="U71" s="244"/>
    </row>
    <row r="72" spans="2:21">
      <c r="B72" s="145" t="str">
        <f t="shared" si="14"/>
        <v/>
      </c>
      <c r="C72" s="496">
        <f>IF(D11="","-",+C71+1)</f>
        <v>2066</v>
      </c>
      <c r="D72" s="509">
        <f>IF(F71+SUM(E$17:E71)=D$10,F71,D$10-SUM(E$17:E71))</f>
        <v>0</v>
      </c>
      <c r="E72" s="510">
        <f>IF(+I14&lt;F71,I14,D72)</f>
        <v>0</v>
      </c>
      <c r="F72" s="511">
        <f t="shared" si="19"/>
        <v>0</v>
      </c>
      <c r="G72" s="524">
        <f t="shared" si="12"/>
        <v>0</v>
      </c>
      <c r="H72" s="478">
        <f t="shared" si="13"/>
        <v>0</v>
      </c>
      <c r="I72" s="501">
        <f t="shared" si="15"/>
        <v>0</v>
      </c>
      <c r="J72" s="501"/>
      <c r="K72" s="513"/>
      <c r="L72" s="505">
        <f t="shared" si="16"/>
        <v>0</v>
      </c>
      <c r="M72" s="513"/>
      <c r="N72" s="505">
        <f t="shared" si="17"/>
        <v>0</v>
      </c>
      <c r="O72" s="505">
        <f t="shared" si="18"/>
        <v>0</v>
      </c>
      <c r="P72" s="279"/>
      <c r="R72" s="244"/>
      <c r="S72" s="244"/>
      <c r="T72" s="244"/>
      <c r="U72" s="244"/>
    </row>
    <row r="73" spans="2:21" ht="13.5" thickBot="1">
      <c r="B73" s="145" t="str">
        <f t="shared" si="14"/>
        <v/>
      </c>
      <c r="C73" s="525">
        <f>IF(D11="","-",+C72+1)</f>
        <v>2067</v>
      </c>
      <c r="D73" s="526">
        <f>IF(F72+SUM(E$17:E72)=D$10,F72,D$10-SUM(E$17:E72))</f>
        <v>0</v>
      </c>
      <c r="E73" s="527">
        <f>IF(+I14&lt;F72,I14,D73)</f>
        <v>0</v>
      </c>
      <c r="F73" s="528">
        <f t="shared" si="19"/>
        <v>0</v>
      </c>
      <c r="G73" s="529">
        <f t="shared" si="12"/>
        <v>0</v>
      </c>
      <c r="H73" s="459">
        <f t="shared" si="13"/>
        <v>0</v>
      </c>
      <c r="I73" s="530">
        <f t="shared" si="15"/>
        <v>0</v>
      </c>
      <c r="J73" s="501"/>
      <c r="K73" s="531"/>
      <c r="L73" s="532">
        <f t="shared" si="16"/>
        <v>0</v>
      </c>
      <c r="M73" s="531"/>
      <c r="N73" s="532">
        <f t="shared" si="17"/>
        <v>0</v>
      </c>
      <c r="O73" s="532">
        <f t="shared" si="18"/>
        <v>0</v>
      </c>
      <c r="P73" s="279"/>
      <c r="R73" s="244"/>
      <c r="S73" s="244"/>
      <c r="T73" s="244"/>
      <c r="U73" s="244"/>
    </row>
    <row r="74" spans="2:21">
      <c r="C74" s="350" t="s">
        <v>75</v>
      </c>
      <c r="D74" s="295"/>
      <c r="E74" s="295">
        <f>SUM(E17:E73)</f>
        <v>614752.99999999988</v>
      </c>
      <c r="F74" s="295"/>
      <c r="G74" s="295">
        <f>SUM(G17:G73)</f>
        <v>2041447.6461488272</v>
      </c>
      <c r="H74" s="295">
        <f>SUM(H17:H73)</f>
        <v>2041447.6461488272</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3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72273.408385464543</v>
      </c>
      <c r="N88" s="545">
        <f>IF(J93&lt;D11,0,VLOOKUP(J93,C17:O73,11))</f>
        <v>72273.408385464543</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80333.712117672912</v>
      </c>
      <c r="N89" s="549">
        <f>IF(J93&lt;D11,0,VLOOKUP(J93,C100:P155,7))</f>
        <v>80333.712117672912</v>
      </c>
      <c r="O89" s="550">
        <f>+N89-M89</f>
        <v>0</v>
      </c>
      <c r="P89" s="244"/>
      <c r="Q89" s="244"/>
      <c r="R89" s="244"/>
      <c r="S89" s="244"/>
      <c r="T89" s="244"/>
      <c r="U89" s="244"/>
    </row>
    <row r="90" spans="1:21" ht="13.5" thickBot="1">
      <c r="C90" s="455" t="s">
        <v>82</v>
      </c>
      <c r="D90" s="551" t="str">
        <f>+D7</f>
        <v>Tulsa Power Station Reactor</v>
      </c>
      <c r="E90" s="244"/>
      <c r="F90" s="244"/>
      <c r="G90" s="244"/>
      <c r="H90" s="244"/>
      <c r="I90" s="326"/>
      <c r="J90" s="326"/>
      <c r="K90" s="552"/>
      <c r="L90" s="553" t="s">
        <v>135</v>
      </c>
      <c r="M90" s="554">
        <f>+M89-M88</f>
        <v>8060.3037322083692</v>
      </c>
      <c r="N90" s="554">
        <f>+N89-N88</f>
        <v>8060.3037322083692</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TP2009090</v>
      </c>
      <c r="E92" s="559"/>
      <c r="F92" s="559"/>
      <c r="G92" s="559"/>
      <c r="H92" s="559"/>
      <c r="I92" s="559"/>
      <c r="J92" s="559"/>
      <c r="K92" s="561"/>
      <c r="P92" s="469"/>
      <c r="Q92" s="244"/>
      <c r="R92" s="244"/>
      <c r="S92" s="244"/>
      <c r="T92" s="244"/>
      <c r="U92" s="244"/>
    </row>
    <row r="93" spans="1:21">
      <c r="C93" s="473" t="s">
        <v>49</v>
      </c>
      <c r="D93" s="471">
        <f>IF(D11=I10,0,D10)</f>
        <v>614753</v>
      </c>
      <c r="E93" s="249" t="s">
        <v>84</v>
      </c>
      <c r="H93" s="409"/>
      <c r="I93" s="409"/>
      <c r="J93" s="472">
        <f>+'OKT.WS.G.BPU.ATRR.True-up'!M16</f>
        <v>2021</v>
      </c>
      <c r="K93" s="468"/>
      <c r="L93" s="295" t="s">
        <v>85</v>
      </c>
      <c r="P93" s="279"/>
      <c r="Q93" s="244"/>
      <c r="R93" s="244"/>
      <c r="S93" s="244"/>
      <c r="T93" s="244"/>
      <c r="U93" s="244"/>
    </row>
    <row r="94" spans="1:21">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IF(D11=I10,"",D12)</f>
        <v>10</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24590.12</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31" si="20">IF(D100=F99,"","IU")</f>
        <v>IU</v>
      </c>
      <c r="C100" s="496">
        <f>IF(D94= "","-",D94)</f>
        <v>2011</v>
      </c>
      <c r="D100" s="497">
        <v>0</v>
      </c>
      <c r="E100" s="499">
        <v>1766.3534482758621</v>
      </c>
      <c r="F100" s="506">
        <v>612924.64655172417</v>
      </c>
      <c r="G100" s="572">
        <v>306462.32327586209</v>
      </c>
      <c r="H100" s="572">
        <v>24552.570276961298</v>
      </c>
      <c r="I100" s="572">
        <v>24552.570276961298</v>
      </c>
      <c r="J100" s="505">
        <v>0</v>
      </c>
      <c r="K100" s="505"/>
      <c r="L100" s="588">
        <f t="shared" ref="L100:L105" si="21">H100</f>
        <v>24552.570276961298</v>
      </c>
      <c r="M100" s="589">
        <f t="shared" ref="M100:M131" si="22">IF(L100&lt;&gt;0,+H100-L100,0)</f>
        <v>0</v>
      </c>
      <c r="N100" s="507">
        <f t="shared" ref="N100:N105" si="23">I100</f>
        <v>24552.570276961298</v>
      </c>
      <c r="O100" s="589">
        <f t="shared" ref="O100:O131" si="24">IF(N100&lt;&gt;0,+I100-N100,0)</f>
        <v>0</v>
      </c>
      <c r="P100" s="504">
        <f t="shared" ref="P100:P131" si="25">+O100-M100</f>
        <v>0</v>
      </c>
      <c r="Q100" s="244"/>
      <c r="R100" s="244"/>
      <c r="S100" s="244"/>
      <c r="T100" s="244"/>
      <c r="U100" s="244"/>
    </row>
    <row r="101" spans="1:21">
      <c r="B101" s="145" t="str">
        <f t="shared" si="20"/>
        <v>IU</v>
      </c>
      <c r="C101" s="496">
        <f>IF(D94="","-",+C100+1)</f>
        <v>2012</v>
      </c>
      <c r="D101" s="497">
        <v>612986.64655172417</v>
      </c>
      <c r="E101" s="499">
        <v>10599.189655172413</v>
      </c>
      <c r="F101" s="506">
        <v>602387.45689655177</v>
      </c>
      <c r="G101" s="506">
        <v>607687.05172413797</v>
      </c>
      <c r="H101" s="499">
        <v>72187.934734594193</v>
      </c>
      <c r="I101" s="500">
        <v>72187.934734594193</v>
      </c>
      <c r="J101" s="505">
        <v>0</v>
      </c>
      <c r="K101" s="589"/>
      <c r="L101" s="590">
        <f t="shared" si="21"/>
        <v>72187.934734594193</v>
      </c>
      <c r="M101" s="589">
        <f t="shared" ref="M101:M106" si="26">IF(L101&lt;&gt;0,+H101-L101,0)</f>
        <v>0</v>
      </c>
      <c r="N101" s="507">
        <f t="shared" si="23"/>
        <v>72187.934734594193</v>
      </c>
      <c r="O101" s="589">
        <f>IF(N101&lt;&gt;0,+I101-N101,0)</f>
        <v>0</v>
      </c>
      <c r="P101" s="589">
        <f>+O101-M101</f>
        <v>0</v>
      </c>
      <c r="Q101" s="244"/>
      <c r="R101" s="244"/>
      <c r="S101" s="244"/>
      <c r="T101" s="244"/>
      <c r="U101" s="244"/>
    </row>
    <row r="102" spans="1:21">
      <c r="B102" s="145" t="str">
        <f t="shared" si="20"/>
        <v/>
      </c>
      <c r="C102" s="496">
        <f>IF(D94="","-",+C101+1)</f>
        <v>2013</v>
      </c>
      <c r="D102" s="497">
        <v>602387.45689655177</v>
      </c>
      <c r="E102" s="499">
        <v>10599.189655172413</v>
      </c>
      <c r="F102" s="506">
        <v>591788.26724137936</v>
      </c>
      <c r="G102" s="506">
        <v>597087.86206896557</v>
      </c>
      <c r="H102" s="499">
        <v>78464.169300722831</v>
      </c>
      <c r="I102" s="500">
        <v>78464.169300722831</v>
      </c>
      <c r="J102" s="505">
        <f t="shared" ref="J102:J131" si="27">+I102-H102</f>
        <v>0</v>
      </c>
      <c r="K102" s="589"/>
      <c r="L102" s="590">
        <f t="shared" si="21"/>
        <v>78464.169300722831</v>
      </c>
      <c r="M102" s="589">
        <f t="shared" si="26"/>
        <v>0</v>
      </c>
      <c r="N102" s="507">
        <f t="shared" si="23"/>
        <v>78464.169300722831</v>
      </c>
      <c r="O102" s="589">
        <f>IF(N102&lt;&gt;0,+I102-N102,0)</f>
        <v>0</v>
      </c>
      <c r="P102" s="589">
        <f>+O102-M102</f>
        <v>0</v>
      </c>
      <c r="Q102" s="244"/>
      <c r="R102" s="244"/>
      <c r="S102" s="244"/>
      <c r="T102" s="244"/>
      <c r="U102" s="244"/>
    </row>
    <row r="103" spans="1:21">
      <c r="B103" s="145" t="str">
        <f t="shared" si="20"/>
        <v/>
      </c>
      <c r="C103" s="496">
        <f>IF(D94="","-",+C102+1)</f>
        <v>2014</v>
      </c>
      <c r="D103" s="497">
        <v>591788.26724137936</v>
      </c>
      <c r="E103" s="499">
        <v>10599.189655172413</v>
      </c>
      <c r="F103" s="506">
        <v>581189.07758620696</v>
      </c>
      <c r="G103" s="506">
        <v>586488.67241379316</v>
      </c>
      <c r="H103" s="499">
        <v>73672.191823391273</v>
      </c>
      <c r="I103" s="500">
        <v>73672.191823391273</v>
      </c>
      <c r="J103" s="505">
        <v>0</v>
      </c>
      <c r="K103" s="505"/>
      <c r="L103" s="590">
        <f t="shared" si="21"/>
        <v>73672.191823391273</v>
      </c>
      <c r="M103" s="589">
        <f t="shared" si="26"/>
        <v>0</v>
      </c>
      <c r="N103" s="507">
        <f t="shared" si="23"/>
        <v>73672.191823391273</v>
      </c>
      <c r="O103" s="589">
        <f>IF(N103&lt;&gt;0,+I103-N103,0)</f>
        <v>0</v>
      </c>
      <c r="P103" s="589">
        <f>+O103-M103</f>
        <v>0</v>
      </c>
      <c r="Q103" s="244"/>
      <c r="R103" s="244"/>
      <c r="S103" s="244"/>
      <c r="T103" s="244"/>
      <c r="U103" s="244"/>
    </row>
    <row r="104" spans="1:21">
      <c r="B104" s="145" t="str">
        <f t="shared" si="20"/>
        <v/>
      </c>
      <c r="C104" s="496">
        <f>IF(D94="","-",+C103+1)</f>
        <v>2015</v>
      </c>
      <c r="D104" s="497">
        <v>581189.07758620696</v>
      </c>
      <c r="E104" s="499">
        <v>12807.354166666666</v>
      </c>
      <c r="F104" s="506">
        <v>568381.72341954033</v>
      </c>
      <c r="G104" s="506">
        <v>574785.40050287358</v>
      </c>
      <c r="H104" s="499">
        <v>76797.884368158106</v>
      </c>
      <c r="I104" s="500">
        <v>76797.884368158106</v>
      </c>
      <c r="J104" s="505">
        <f t="shared" si="27"/>
        <v>0</v>
      </c>
      <c r="K104" s="505"/>
      <c r="L104" s="590">
        <f t="shared" si="21"/>
        <v>76797.884368158106</v>
      </c>
      <c r="M104" s="589">
        <f t="shared" si="26"/>
        <v>0</v>
      </c>
      <c r="N104" s="507">
        <f t="shared" si="23"/>
        <v>76797.884368158106</v>
      </c>
      <c r="O104" s="589">
        <f t="shared" si="24"/>
        <v>0</v>
      </c>
      <c r="P104" s="589">
        <f t="shared" si="25"/>
        <v>0</v>
      </c>
      <c r="Q104" s="244"/>
      <c r="R104" s="244"/>
      <c r="S104" s="244"/>
      <c r="T104" s="244"/>
      <c r="U104" s="244"/>
    </row>
    <row r="105" spans="1:21">
      <c r="B105" s="145" t="str">
        <f t="shared" si="20"/>
        <v/>
      </c>
      <c r="C105" s="496">
        <f>IF(D94="","-",+C104+1)</f>
        <v>2016</v>
      </c>
      <c r="D105" s="497">
        <v>568381.72341954033</v>
      </c>
      <c r="E105" s="499">
        <v>12053.980392156862</v>
      </c>
      <c r="F105" s="506">
        <v>556327.74302738346</v>
      </c>
      <c r="G105" s="506">
        <v>562354.7332234619</v>
      </c>
      <c r="H105" s="499">
        <v>72996.058830960712</v>
      </c>
      <c r="I105" s="500">
        <v>72996.058830960712</v>
      </c>
      <c r="J105" s="505">
        <f t="shared" si="27"/>
        <v>0</v>
      </c>
      <c r="K105" s="505"/>
      <c r="L105" s="590">
        <f t="shared" si="21"/>
        <v>72996.058830960712</v>
      </c>
      <c r="M105" s="589">
        <f t="shared" si="26"/>
        <v>0</v>
      </c>
      <c r="N105" s="507">
        <f t="shared" si="23"/>
        <v>72996.058830960712</v>
      </c>
      <c r="O105" s="589">
        <f>IF(N105&lt;&gt;0,+I105-N105,0)</f>
        <v>0</v>
      </c>
      <c r="P105" s="589">
        <f>+O105-M105</f>
        <v>0</v>
      </c>
      <c r="Q105" s="244"/>
      <c r="R105" s="244"/>
      <c r="S105" s="244"/>
      <c r="T105" s="244"/>
      <c r="U105" s="244"/>
    </row>
    <row r="106" spans="1:21">
      <c r="B106" s="145" t="str">
        <f t="shared" si="20"/>
        <v/>
      </c>
      <c r="C106" s="496">
        <f>IF(D94="","-",+C105+1)</f>
        <v>2017</v>
      </c>
      <c r="D106" s="497">
        <v>556327.74302738346</v>
      </c>
      <c r="E106" s="499">
        <v>15368.825000000001</v>
      </c>
      <c r="F106" s="506">
        <v>540958.91802738351</v>
      </c>
      <c r="G106" s="506">
        <v>548643.33052738348</v>
      </c>
      <c r="H106" s="499">
        <v>79744.364331325967</v>
      </c>
      <c r="I106" s="500">
        <v>79744.364331325967</v>
      </c>
      <c r="J106" s="505">
        <f t="shared" si="27"/>
        <v>0</v>
      </c>
      <c r="K106" s="505"/>
      <c r="L106" s="590">
        <f>H106</f>
        <v>79744.364331325967</v>
      </c>
      <c r="M106" s="589">
        <f t="shared" si="26"/>
        <v>0</v>
      </c>
      <c r="N106" s="507">
        <f>I106</f>
        <v>79744.364331325967</v>
      </c>
      <c r="O106" s="589">
        <f>IF(N106&lt;&gt;0,+I106-N106,0)</f>
        <v>0</v>
      </c>
      <c r="P106" s="589">
        <f>+O106-M106</f>
        <v>0</v>
      </c>
      <c r="Q106" s="244"/>
      <c r="R106" s="244"/>
      <c r="S106" s="244"/>
      <c r="T106" s="244"/>
      <c r="U106" s="244"/>
    </row>
    <row r="107" spans="1:21">
      <c r="B107" s="145" t="str">
        <f t="shared" si="20"/>
        <v/>
      </c>
      <c r="C107" s="496">
        <f>IF(D94="","-",+C106+1)</f>
        <v>2018</v>
      </c>
      <c r="D107" s="497">
        <v>540958.91802738351</v>
      </c>
      <c r="E107" s="499">
        <v>17076.472222222223</v>
      </c>
      <c r="F107" s="506">
        <v>523882.44580516126</v>
      </c>
      <c r="G107" s="506">
        <v>532420.68191627238</v>
      </c>
      <c r="H107" s="499">
        <v>73280.103356307678</v>
      </c>
      <c r="I107" s="500">
        <v>73280.103356307678</v>
      </c>
      <c r="J107" s="505">
        <f t="shared" si="27"/>
        <v>0</v>
      </c>
      <c r="K107" s="505"/>
      <c r="L107" s="590">
        <f>H107</f>
        <v>73280.103356307678</v>
      </c>
      <c r="M107" s="589">
        <f t="shared" ref="M107" si="28">IF(L107&lt;&gt;0,+H107-L107,0)</f>
        <v>0</v>
      </c>
      <c r="N107" s="507">
        <f>I107</f>
        <v>73280.103356307678</v>
      </c>
      <c r="O107" s="589">
        <f>IF(N107&lt;&gt;0,+I107-N107,0)</f>
        <v>0</v>
      </c>
      <c r="P107" s="589">
        <f>+O107-M107</f>
        <v>0</v>
      </c>
      <c r="Q107" s="244"/>
      <c r="R107" s="244"/>
      <c r="S107" s="244"/>
      <c r="T107" s="244"/>
      <c r="U107" s="244"/>
    </row>
    <row r="108" spans="1:21">
      <c r="B108" s="145" t="str">
        <f t="shared" si="20"/>
        <v/>
      </c>
      <c r="C108" s="496">
        <f>IF(D94="","-",+C107+1)</f>
        <v>2019</v>
      </c>
      <c r="D108" s="497">
        <v>523882.44580516126</v>
      </c>
      <c r="E108" s="499">
        <v>17076.472222222223</v>
      </c>
      <c r="F108" s="506">
        <v>506805.97358293901</v>
      </c>
      <c r="G108" s="506">
        <v>515344.20969405014</v>
      </c>
      <c r="H108" s="499">
        <v>71477.469126557437</v>
      </c>
      <c r="I108" s="500">
        <v>71477.469126557437</v>
      </c>
      <c r="J108" s="505">
        <f t="shared" si="27"/>
        <v>0</v>
      </c>
      <c r="K108" s="505"/>
      <c r="L108" s="590">
        <f>H108</f>
        <v>71477.469126557437</v>
      </c>
      <c r="M108" s="589">
        <f t="shared" ref="M108" si="29">IF(L108&lt;&gt;0,+H108-L108,0)</f>
        <v>0</v>
      </c>
      <c r="N108" s="507">
        <f>I108</f>
        <v>71477.469126557437</v>
      </c>
      <c r="O108" s="505">
        <f t="shared" si="24"/>
        <v>0</v>
      </c>
      <c r="P108" s="505">
        <f t="shared" si="25"/>
        <v>0</v>
      </c>
      <c r="Q108" s="244"/>
      <c r="R108" s="244"/>
      <c r="S108" s="244"/>
      <c r="T108" s="244"/>
      <c r="U108" s="244"/>
    </row>
    <row r="109" spans="1:21">
      <c r="B109" s="145" t="str">
        <f t="shared" si="20"/>
        <v/>
      </c>
      <c r="C109" s="496">
        <f>IF(D94="","-",+C108+1)</f>
        <v>2020</v>
      </c>
      <c r="D109" s="497">
        <v>506805.97358293901</v>
      </c>
      <c r="E109" s="499">
        <v>21955.464285714286</v>
      </c>
      <c r="F109" s="506">
        <v>484850.50929722475</v>
      </c>
      <c r="G109" s="506">
        <v>495828.24144008185</v>
      </c>
      <c r="H109" s="499">
        <v>74718.282345644373</v>
      </c>
      <c r="I109" s="500">
        <v>74718.282345644373</v>
      </c>
      <c r="J109" s="505">
        <f t="shared" si="27"/>
        <v>0</v>
      </c>
      <c r="K109" s="505"/>
      <c r="L109" s="590">
        <f>H109</f>
        <v>74718.282345644373</v>
      </c>
      <c r="M109" s="589">
        <f t="shared" ref="M109" si="30">IF(L109&lt;&gt;0,+H109-L109,0)</f>
        <v>0</v>
      </c>
      <c r="N109" s="507">
        <f>I109</f>
        <v>74718.282345644373</v>
      </c>
      <c r="O109" s="505">
        <f t="shared" si="24"/>
        <v>0</v>
      </c>
      <c r="P109" s="505">
        <f t="shared" si="25"/>
        <v>0</v>
      </c>
      <c r="Q109" s="244"/>
      <c r="R109" s="244"/>
      <c r="S109" s="244"/>
      <c r="T109" s="244"/>
      <c r="U109" s="244"/>
    </row>
    <row r="110" spans="1:21">
      <c r="B110" s="145" t="str">
        <f t="shared" si="20"/>
        <v/>
      </c>
      <c r="C110" s="496">
        <f>IF(D94="","-",+C109+1)</f>
        <v>2021</v>
      </c>
      <c r="D110" s="350">
        <f>IF(F109+SUM(E$100:E109)=D$93,F109,D$93-SUM(E$100:E109))</f>
        <v>484850.50929722475</v>
      </c>
      <c r="E110" s="510">
        <f>IF(+J97&lt;F109,J97,D110)</f>
        <v>24590.12</v>
      </c>
      <c r="F110" s="511">
        <f t="shared" ref="F110:F132" si="31">+D110-E110</f>
        <v>460260.38929722476</v>
      </c>
      <c r="G110" s="511">
        <f t="shared" ref="G110:G131" si="32">+(F110+D110)/2</f>
        <v>472555.44929722475</v>
      </c>
      <c r="H110" s="646">
        <f t="shared" ref="H110:H155" si="33">(D110+F110)/2*J$95+E110</f>
        <v>80333.712117672912</v>
      </c>
      <c r="I110" s="573">
        <f t="shared" ref="I110:I131" si="34">+J$96*G110+E110</f>
        <v>80333.712117672912</v>
      </c>
      <c r="J110" s="505">
        <f t="shared" si="27"/>
        <v>0</v>
      </c>
      <c r="K110" s="505"/>
      <c r="L110" s="513"/>
      <c r="M110" s="505">
        <f t="shared" si="22"/>
        <v>0</v>
      </c>
      <c r="N110" s="513"/>
      <c r="O110" s="505">
        <f t="shared" si="24"/>
        <v>0</v>
      </c>
      <c r="P110" s="505">
        <f t="shared" si="25"/>
        <v>0</v>
      </c>
      <c r="Q110" s="244"/>
      <c r="R110" s="244"/>
      <c r="S110" s="244"/>
      <c r="T110" s="244"/>
      <c r="U110" s="244"/>
    </row>
    <row r="111" spans="1:21">
      <c r="B111" s="145" t="str">
        <f t="shared" si="20"/>
        <v/>
      </c>
      <c r="C111" s="496">
        <f>IF(D94="","-",+C110+1)</f>
        <v>2022</v>
      </c>
      <c r="D111" s="350">
        <f>IF(F110+SUM(E$100:E110)=D$93,F110,D$93-SUM(E$100:E110))</f>
        <v>460260.38929722476</v>
      </c>
      <c r="E111" s="510">
        <f>IF(+J97&lt;F110,J97,D111)</f>
        <v>24590.12</v>
      </c>
      <c r="F111" s="511">
        <f t="shared" si="31"/>
        <v>435670.26929722476</v>
      </c>
      <c r="G111" s="511">
        <f t="shared" si="32"/>
        <v>447965.32929722476</v>
      </c>
      <c r="H111" s="646">
        <f t="shared" si="33"/>
        <v>77433.012059207453</v>
      </c>
      <c r="I111" s="573">
        <f t="shared" si="34"/>
        <v>77433.012059207453</v>
      </c>
      <c r="J111" s="505">
        <f t="shared" si="27"/>
        <v>0</v>
      </c>
      <c r="K111" s="505"/>
      <c r="L111" s="513"/>
      <c r="M111" s="505">
        <f t="shared" si="22"/>
        <v>0</v>
      </c>
      <c r="N111" s="513"/>
      <c r="O111" s="505">
        <f t="shared" si="24"/>
        <v>0</v>
      </c>
      <c r="P111" s="505">
        <f t="shared" si="25"/>
        <v>0</v>
      </c>
      <c r="Q111" s="244"/>
      <c r="R111" s="244"/>
      <c r="S111" s="244"/>
      <c r="T111" s="244"/>
      <c r="U111" s="244"/>
    </row>
    <row r="112" spans="1:21">
      <c r="B112" s="145" t="str">
        <f t="shared" si="20"/>
        <v/>
      </c>
      <c r="C112" s="496">
        <f>IF(D94="","-",+C111+1)</f>
        <v>2023</v>
      </c>
      <c r="D112" s="350">
        <f>IF(F111+SUM(E$100:E111)=D$93,F111,D$93-SUM(E$100:E111))</f>
        <v>435670.26929722476</v>
      </c>
      <c r="E112" s="510">
        <f>IF(+J97&lt;F111,J97,D112)</f>
        <v>24590.12</v>
      </c>
      <c r="F112" s="511">
        <f t="shared" si="31"/>
        <v>411080.14929722477</v>
      </c>
      <c r="G112" s="511">
        <f t="shared" si="32"/>
        <v>423375.20929722476</v>
      </c>
      <c r="H112" s="646">
        <f t="shared" si="33"/>
        <v>74532.312000741993</v>
      </c>
      <c r="I112" s="573">
        <f t="shared" si="34"/>
        <v>74532.312000741993</v>
      </c>
      <c r="J112" s="505">
        <f t="shared" si="27"/>
        <v>0</v>
      </c>
      <c r="K112" s="505"/>
      <c r="L112" s="513"/>
      <c r="M112" s="505">
        <f t="shared" si="22"/>
        <v>0</v>
      </c>
      <c r="N112" s="513"/>
      <c r="O112" s="505">
        <f t="shared" si="24"/>
        <v>0</v>
      </c>
      <c r="P112" s="505">
        <f t="shared" si="25"/>
        <v>0</v>
      </c>
      <c r="Q112" s="244"/>
      <c r="R112" s="244"/>
      <c r="S112" s="244"/>
      <c r="T112" s="244"/>
      <c r="U112" s="244"/>
    </row>
    <row r="113" spans="2:21">
      <c r="B113" s="145" t="str">
        <f t="shared" si="20"/>
        <v/>
      </c>
      <c r="C113" s="496">
        <f>IF(D94="","-",+C112+1)</f>
        <v>2024</v>
      </c>
      <c r="D113" s="350">
        <f>IF(F112+SUM(E$100:E112)=D$93,F112,D$93-SUM(E$100:E112))</f>
        <v>411080.14929722477</v>
      </c>
      <c r="E113" s="510">
        <f>IF(+J97&lt;F112,J97,D113)</f>
        <v>24590.12</v>
      </c>
      <c r="F113" s="511">
        <f t="shared" si="31"/>
        <v>386490.02929722477</v>
      </c>
      <c r="G113" s="511">
        <f t="shared" si="32"/>
        <v>398785.08929722477</v>
      </c>
      <c r="H113" s="646">
        <f t="shared" si="33"/>
        <v>71631.611942276533</v>
      </c>
      <c r="I113" s="573">
        <f t="shared" si="34"/>
        <v>71631.611942276533</v>
      </c>
      <c r="J113" s="505">
        <f t="shared" si="27"/>
        <v>0</v>
      </c>
      <c r="K113" s="505"/>
      <c r="L113" s="513"/>
      <c r="M113" s="505">
        <f t="shared" si="22"/>
        <v>0</v>
      </c>
      <c r="N113" s="513"/>
      <c r="O113" s="505">
        <f t="shared" si="24"/>
        <v>0</v>
      </c>
      <c r="P113" s="505">
        <f t="shared" si="25"/>
        <v>0</v>
      </c>
      <c r="Q113" s="244"/>
      <c r="R113" s="244"/>
      <c r="S113" s="244"/>
      <c r="T113" s="244"/>
      <c r="U113" s="244"/>
    </row>
    <row r="114" spans="2:21">
      <c r="B114" s="145" t="str">
        <f t="shared" si="20"/>
        <v/>
      </c>
      <c r="C114" s="496">
        <f>IF(D94="","-",+C113+1)</f>
        <v>2025</v>
      </c>
      <c r="D114" s="350">
        <f>IF(F113+SUM(E$100:E113)=D$93,F113,D$93-SUM(E$100:E113))</f>
        <v>386490.02929722477</v>
      </c>
      <c r="E114" s="510">
        <f>IF(+J97&lt;F113,J97,D114)</f>
        <v>24590.12</v>
      </c>
      <c r="F114" s="511">
        <f t="shared" si="31"/>
        <v>361899.90929722477</v>
      </c>
      <c r="G114" s="511">
        <f t="shared" si="32"/>
        <v>374194.96929722477</v>
      </c>
      <c r="H114" s="646">
        <f t="shared" si="33"/>
        <v>68730.911883811073</v>
      </c>
      <c r="I114" s="573">
        <f t="shared" si="34"/>
        <v>68730.911883811073</v>
      </c>
      <c r="J114" s="505">
        <f t="shared" si="27"/>
        <v>0</v>
      </c>
      <c r="K114" s="505"/>
      <c r="L114" s="513"/>
      <c r="M114" s="505">
        <f t="shared" si="22"/>
        <v>0</v>
      </c>
      <c r="N114" s="513"/>
      <c r="O114" s="505">
        <f t="shared" si="24"/>
        <v>0</v>
      </c>
      <c r="P114" s="505">
        <f t="shared" si="25"/>
        <v>0</v>
      </c>
      <c r="Q114" s="244"/>
      <c r="R114" s="244"/>
      <c r="S114" s="244"/>
      <c r="T114" s="244"/>
      <c r="U114" s="244"/>
    </row>
    <row r="115" spans="2:21">
      <c r="B115" s="145" t="str">
        <f t="shared" si="20"/>
        <v/>
      </c>
      <c r="C115" s="496">
        <f>IF(D94="","-",+C114+1)</f>
        <v>2026</v>
      </c>
      <c r="D115" s="350">
        <f>IF(F114+SUM(E$100:E114)=D$93,F114,D$93-SUM(E$100:E114))</f>
        <v>361899.90929722477</v>
      </c>
      <c r="E115" s="510">
        <f>IF(+J97&lt;F114,J97,D115)</f>
        <v>24590.12</v>
      </c>
      <c r="F115" s="511">
        <f t="shared" si="31"/>
        <v>337309.78929722478</v>
      </c>
      <c r="G115" s="511">
        <f t="shared" si="32"/>
        <v>349604.84929722478</v>
      </c>
      <c r="H115" s="646">
        <f t="shared" si="33"/>
        <v>65830.211825345628</v>
      </c>
      <c r="I115" s="573">
        <f t="shared" si="34"/>
        <v>65830.211825345628</v>
      </c>
      <c r="J115" s="505">
        <f t="shared" si="27"/>
        <v>0</v>
      </c>
      <c r="K115" s="505"/>
      <c r="L115" s="513"/>
      <c r="M115" s="505">
        <f t="shared" si="22"/>
        <v>0</v>
      </c>
      <c r="N115" s="513"/>
      <c r="O115" s="505">
        <f t="shared" si="24"/>
        <v>0</v>
      </c>
      <c r="P115" s="505">
        <f t="shared" si="25"/>
        <v>0</v>
      </c>
      <c r="Q115" s="244"/>
      <c r="R115" s="244"/>
      <c r="S115" s="244"/>
      <c r="T115" s="244"/>
      <c r="U115" s="244"/>
    </row>
    <row r="116" spans="2:21">
      <c r="B116" s="145" t="str">
        <f t="shared" si="20"/>
        <v/>
      </c>
      <c r="C116" s="496">
        <f>IF(D94="","-",+C115+1)</f>
        <v>2027</v>
      </c>
      <c r="D116" s="350">
        <f>IF(F115+SUM(E$100:E115)=D$93,F115,D$93-SUM(E$100:E115))</f>
        <v>337309.78929722478</v>
      </c>
      <c r="E116" s="510">
        <f>IF(+J97&lt;F115,J97,D116)</f>
        <v>24590.12</v>
      </c>
      <c r="F116" s="511">
        <f t="shared" si="31"/>
        <v>312719.66929722478</v>
      </c>
      <c r="G116" s="511">
        <f t="shared" si="32"/>
        <v>325014.72929722478</v>
      </c>
      <c r="H116" s="646">
        <f t="shared" si="33"/>
        <v>62929.511766880169</v>
      </c>
      <c r="I116" s="573">
        <f t="shared" si="34"/>
        <v>62929.511766880169</v>
      </c>
      <c r="J116" s="505">
        <f t="shared" si="27"/>
        <v>0</v>
      </c>
      <c r="K116" s="505"/>
      <c r="L116" s="513"/>
      <c r="M116" s="505">
        <f t="shared" si="22"/>
        <v>0</v>
      </c>
      <c r="N116" s="513"/>
      <c r="O116" s="505">
        <f t="shared" si="24"/>
        <v>0</v>
      </c>
      <c r="P116" s="505">
        <f t="shared" si="25"/>
        <v>0</v>
      </c>
      <c r="Q116" s="244"/>
      <c r="R116" s="244"/>
      <c r="S116" s="244"/>
      <c r="T116" s="244"/>
      <c r="U116" s="244"/>
    </row>
    <row r="117" spans="2:21">
      <c r="B117" s="145" t="str">
        <f t="shared" si="20"/>
        <v/>
      </c>
      <c r="C117" s="496">
        <f>IF(D94="","-",+C116+1)</f>
        <v>2028</v>
      </c>
      <c r="D117" s="350">
        <f>IF(F116+SUM(E$100:E116)=D$93,F116,D$93-SUM(E$100:E116))</f>
        <v>312719.66929722478</v>
      </c>
      <c r="E117" s="510">
        <f>IF(+J97&lt;F116,J97,D117)</f>
        <v>24590.12</v>
      </c>
      <c r="F117" s="511">
        <f t="shared" si="31"/>
        <v>288129.54929722479</v>
      </c>
      <c r="G117" s="511">
        <f t="shared" si="32"/>
        <v>300424.60929722479</v>
      </c>
      <c r="H117" s="646">
        <f t="shared" si="33"/>
        <v>60028.811708414709</v>
      </c>
      <c r="I117" s="573">
        <f t="shared" si="34"/>
        <v>60028.811708414709</v>
      </c>
      <c r="J117" s="505">
        <f t="shared" si="27"/>
        <v>0</v>
      </c>
      <c r="K117" s="505"/>
      <c r="L117" s="513"/>
      <c r="M117" s="505">
        <f t="shared" si="22"/>
        <v>0</v>
      </c>
      <c r="N117" s="513"/>
      <c r="O117" s="505">
        <f t="shared" si="24"/>
        <v>0</v>
      </c>
      <c r="P117" s="505">
        <f t="shared" si="25"/>
        <v>0</v>
      </c>
      <c r="Q117" s="244"/>
      <c r="R117" s="244"/>
      <c r="S117" s="244"/>
      <c r="T117" s="244"/>
      <c r="U117" s="244"/>
    </row>
    <row r="118" spans="2:21">
      <c r="B118" s="145" t="str">
        <f t="shared" si="20"/>
        <v/>
      </c>
      <c r="C118" s="496">
        <f>IF(D94="","-",+C117+1)</f>
        <v>2029</v>
      </c>
      <c r="D118" s="350">
        <f>IF(F117+SUM(E$100:E117)=D$93,F117,D$93-SUM(E$100:E117))</f>
        <v>288129.54929722479</v>
      </c>
      <c r="E118" s="510">
        <f>IF(+J97&lt;F117,J97,D118)</f>
        <v>24590.12</v>
      </c>
      <c r="F118" s="511">
        <f t="shared" si="31"/>
        <v>263539.42929722479</v>
      </c>
      <c r="G118" s="511">
        <f t="shared" si="32"/>
        <v>275834.48929722479</v>
      </c>
      <c r="H118" s="646">
        <f t="shared" si="33"/>
        <v>57128.111649949249</v>
      </c>
      <c r="I118" s="573">
        <f t="shared" si="34"/>
        <v>57128.111649949249</v>
      </c>
      <c r="J118" s="505">
        <f t="shared" si="27"/>
        <v>0</v>
      </c>
      <c r="K118" s="505"/>
      <c r="L118" s="513"/>
      <c r="M118" s="505">
        <f t="shared" si="22"/>
        <v>0</v>
      </c>
      <c r="N118" s="513"/>
      <c r="O118" s="505">
        <f t="shared" si="24"/>
        <v>0</v>
      </c>
      <c r="P118" s="505">
        <f t="shared" si="25"/>
        <v>0</v>
      </c>
      <c r="Q118" s="244"/>
      <c r="R118" s="244"/>
      <c r="S118" s="244"/>
      <c r="T118" s="244"/>
      <c r="U118" s="244"/>
    </row>
    <row r="119" spans="2:21">
      <c r="B119" s="145" t="str">
        <f t="shared" si="20"/>
        <v/>
      </c>
      <c r="C119" s="496">
        <f>IF(D94="","-",+C118+1)</f>
        <v>2030</v>
      </c>
      <c r="D119" s="350">
        <f>IF(F118+SUM(E$100:E118)=D$93,F118,D$93-SUM(E$100:E118))</f>
        <v>263539.42929722479</v>
      </c>
      <c r="E119" s="510">
        <f>IF(+J97&lt;F118,J97,D119)</f>
        <v>24590.12</v>
      </c>
      <c r="F119" s="511">
        <f t="shared" si="31"/>
        <v>238949.3092972248</v>
      </c>
      <c r="G119" s="511">
        <f t="shared" si="32"/>
        <v>251244.3692972248</v>
      </c>
      <c r="H119" s="646">
        <f t="shared" si="33"/>
        <v>54227.411591483789</v>
      </c>
      <c r="I119" s="573">
        <f t="shared" si="34"/>
        <v>54227.411591483789</v>
      </c>
      <c r="J119" s="505">
        <f t="shared" si="27"/>
        <v>0</v>
      </c>
      <c r="K119" s="505"/>
      <c r="L119" s="513"/>
      <c r="M119" s="505">
        <f t="shared" si="22"/>
        <v>0</v>
      </c>
      <c r="N119" s="513"/>
      <c r="O119" s="505">
        <f t="shared" si="24"/>
        <v>0</v>
      </c>
      <c r="P119" s="505">
        <f t="shared" si="25"/>
        <v>0</v>
      </c>
      <c r="Q119" s="244"/>
      <c r="R119" s="244"/>
      <c r="S119" s="244"/>
      <c r="T119" s="244"/>
      <c r="U119" s="244"/>
    </row>
    <row r="120" spans="2:21">
      <c r="B120" s="145" t="str">
        <f t="shared" si="20"/>
        <v/>
      </c>
      <c r="C120" s="496">
        <f>IF(D94="","-",+C119+1)</f>
        <v>2031</v>
      </c>
      <c r="D120" s="350">
        <f>IF(F119+SUM(E$100:E119)=D$93,F119,D$93-SUM(E$100:E119))</f>
        <v>238949.3092972248</v>
      </c>
      <c r="E120" s="510">
        <f>IF(+J97&lt;F119,J97,D120)</f>
        <v>24590.12</v>
      </c>
      <c r="F120" s="511">
        <f t="shared" si="31"/>
        <v>214359.1892972248</v>
      </c>
      <c r="G120" s="511">
        <f t="shared" si="32"/>
        <v>226654.2492972248</v>
      </c>
      <c r="H120" s="646">
        <f t="shared" si="33"/>
        <v>51326.71153301833</v>
      </c>
      <c r="I120" s="573">
        <f t="shared" si="34"/>
        <v>51326.71153301833</v>
      </c>
      <c r="J120" s="505">
        <f t="shared" si="27"/>
        <v>0</v>
      </c>
      <c r="K120" s="505"/>
      <c r="L120" s="513"/>
      <c r="M120" s="505">
        <f t="shared" si="22"/>
        <v>0</v>
      </c>
      <c r="N120" s="513"/>
      <c r="O120" s="505">
        <f t="shared" si="24"/>
        <v>0</v>
      </c>
      <c r="P120" s="505">
        <f t="shared" si="25"/>
        <v>0</v>
      </c>
      <c r="Q120" s="244"/>
      <c r="R120" s="244"/>
      <c r="S120" s="244"/>
      <c r="T120" s="244"/>
      <c r="U120" s="244"/>
    </row>
    <row r="121" spans="2:21">
      <c r="B121" s="145" t="str">
        <f t="shared" si="20"/>
        <v/>
      </c>
      <c r="C121" s="496">
        <f>IF(D94="","-",+C120+1)</f>
        <v>2032</v>
      </c>
      <c r="D121" s="350">
        <f>IF(F120+SUM(E$100:E120)=D$93,F120,D$93-SUM(E$100:E120))</f>
        <v>214359.1892972248</v>
      </c>
      <c r="E121" s="510">
        <f>IF(+J97&lt;F120,J97,D121)</f>
        <v>24590.12</v>
      </c>
      <c r="F121" s="511">
        <f t="shared" si="31"/>
        <v>189769.06929722481</v>
      </c>
      <c r="G121" s="511">
        <f t="shared" si="32"/>
        <v>202064.1292972248</v>
      </c>
      <c r="H121" s="646">
        <f t="shared" si="33"/>
        <v>48426.01147455287</v>
      </c>
      <c r="I121" s="573">
        <f t="shared" si="34"/>
        <v>48426.01147455287</v>
      </c>
      <c r="J121" s="505">
        <f t="shared" si="27"/>
        <v>0</v>
      </c>
      <c r="K121" s="505"/>
      <c r="L121" s="513"/>
      <c r="M121" s="505">
        <f t="shared" si="22"/>
        <v>0</v>
      </c>
      <c r="N121" s="513"/>
      <c r="O121" s="505">
        <f t="shared" si="24"/>
        <v>0</v>
      </c>
      <c r="P121" s="505">
        <f t="shared" si="25"/>
        <v>0</v>
      </c>
      <c r="Q121" s="244"/>
      <c r="R121" s="244"/>
      <c r="S121" s="244"/>
      <c r="T121" s="244"/>
      <c r="U121" s="244"/>
    </row>
    <row r="122" spans="2:21">
      <c r="B122" s="145" t="str">
        <f t="shared" si="20"/>
        <v/>
      </c>
      <c r="C122" s="496">
        <f>IF(D94="","-",+C121+1)</f>
        <v>2033</v>
      </c>
      <c r="D122" s="350">
        <f>IF(F121+SUM(E$100:E121)=D$93,F121,D$93-SUM(E$100:E121))</f>
        <v>189769.06929722481</v>
      </c>
      <c r="E122" s="510">
        <f>IF(+J97&lt;F121,J97,D122)</f>
        <v>24590.12</v>
      </c>
      <c r="F122" s="511">
        <f t="shared" si="31"/>
        <v>165178.94929722481</v>
      </c>
      <c r="G122" s="511">
        <f t="shared" si="32"/>
        <v>177474.00929722481</v>
      </c>
      <c r="H122" s="646">
        <f t="shared" si="33"/>
        <v>45525.31141608741</v>
      </c>
      <c r="I122" s="573">
        <f t="shared" si="34"/>
        <v>45525.31141608741</v>
      </c>
      <c r="J122" s="505">
        <f t="shared" si="27"/>
        <v>0</v>
      </c>
      <c r="K122" s="505"/>
      <c r="L122" s="513"/>
      <c r="M122" s="505">
        <f t="shared" si="22"/>
        <v>0</v>
      </c>
      <c r="N122" s="513"/>
      <c r="O122" s="505">
        <f t="shared" si="24"/>
        <v>0</v>
      </c>
      <c r="P122" s="505">
        <f t="shared" si="25"/>
        <v>0</v>
      </c>
      <c r="Q122" s="244"/>
      <c r="R122" s="244"/>
      <c r="S122" s="244"/>
      <c r="T122" s="244"/>
      <c r="U122" s="244"/>
    </row>
    <row r="123" spans="2:21">
      <c r="B123" s="145" t="str">
        <f t="shared" si="20"/>
        <v/>
      </c>
      <c r="C123" s="496">
        <f>IF(D94="","-",+C122+1)</f>
        <v>2034</v>
      </c>
      <c r="D123" s="350">
        <f>IF(F122+SUM(E$100:E122)=D$93,F122,D$93-SUM(E$100:E122))</f>
        <v>165178.94929722481</v>
      </c>
      <c r="E123" s="510">
        <f>IF(+J97&lt;F122,J97,D123)</f>
        <v>24590.12</v>
      </c>
      <c r="F123" s="511">
        <f t="shared" si="31"/>
        <v>140588.82929722482</v>
      </c>
      <c r="G123" s="511">
        <f t="shared" si="32"/>
        <v>152883.88929722481</v>
      </c>
      <c r="H123" s="646">
        <f t="shared" si="33"/>
        <v>42624.61135762195</v>
      </c>
      <c r="I123" s="573">
        <f t="shared" si="34"/>
        <v>42624.61135762195</v>
      </c>
      <c r="J123" s="505">
        <f t="shared" si="27"/>
        <v>0</v>
      </c>
      <c r="K123" s="505"/>
      <c r="L123" s="513"/>
      <c r="M123" s="505">
        <f t="shared" si="22"/>
        <v>0</v>
      </c>
      <c r="N123" s="513"/>
      <c r="O123" s="505">
        <f t="shared" si="24"/>
        <v>0</v>
      </c>
      <c r="P123" s="505">
        <f t="shared" si="25"/>
        <v>0</v>
      </c>
      <c r="Q123" s="244"/>
      <c r="R123" s="244"/>
      <c r="S123" s="244"/>
      <c r="T123" s="244"/>
      <c r="U123" s="244"/>
    </row>
    <row r="124" spans="2:21">
      <c r="B124" s="145" t="str">
        <f t="shared" si="20"/>
        <v/>
      </c>
      <c r="C124" s="496">
        <f>IF(D94="","-",+C123+1)</f>
        <v>2035</v>
      </c>
      <c r="D124" s="350">
        <f>IF(F123+SUM(E$100:E123)=D$93,F123,D$93-SUM(E$100:E123))</f>
        <v>140588.82929722482</v>
      </c>
      <c r="E124" s="510">
        <f>IF(+J97&lt;F123,J97,D124)</f>
        <v>24590.12</v>
      </c>
      <c r="F124" s="511">
        <f t="shared" si="31"/>
        <v>115998.70929722482</v>
      </c>
      <c r="G124" s="511">
        <f t="shared" si="32"/>
        <v>128293.76929722482</v>
      </c>
      <c r="H124" s="646">
        <f t="shared" si="33"/>
        <v>39723.911299156498</v>
      </c>
      <c r="I124" s="573">
        <f t="shared" si="34"/>
        <v>39723.911299156498</v>
      </c>
      <c r="J124" s="505">
        <f t="shared" si="27"/>
        <v>0</v>
      </c>
      <c r="K124" s="505"/>
      <c r="L124" s="513"/>
      <c r="M124" s="505">
        <f t="shared" si="22"/>
        <v>0</v>
      </c>
      <c r="N124" s="513"/>
      <c r="O124" s="505">
        <f t="shared" si="24"/>
        <v>0</v>
      </c>
      <c r="P124" s="505">
        <f t="shared" si="25"/>
        <v>0</v>
      </c>
      <c r="Q124" s="244"/>
      <c r="R124" s="244"/>
      <c r="S124" s="244"/>
      <c r="T124" s="244"/>
      <c r="U124" s="244"/>
    </row>
    <row r="125" spans="2:21">
      <c r="B125" s="145" t="str">
        <f t="shared" si="20"/>
        <v/>
      </c>
      <c r="C125" s="496">
        <f>IF(D94="","-",+C124+1)</f>
        <v>2036</v>
      </c>
      <c r="D125" s="350">
        <f>IF(F124+SUM(E$100:E124)=D$93,F124,D$93-SUM(E$100:E124))</f>
        <v>115998.70929722482</v>
      </c>
      <c r="E125" s="510">
        <f>IF(+J97&lt;F124,J97,D125)</f>
        <v>24590.12</v>
      </c>
      <c r="F125" s="511">
        <f t="shared" si="31"/>
        <v>91408.589297224826</v>
      </c>
      <c r="G125" s="511">
        <f t="shared" si="32"/>
        <v>103703.64929722482</v>
      </c>
      <c r="H125" s="646">
        <f t="shared" si="33"/>
        <v>36823.211240691038</v>
      </c>
      <c r="I125" s="573">
        <f t="shared" si="34"/>
        <v>36823.211240691038</v>
      </c>
      <c r="J125" s="505">
        <f t="shared" si="27"/>
        <v>0</v>
      </c>
      <c r="K125" s="505"/>
      <c r="L125" s="513"/>
      <c r="M125" s="505">
        <f t="shared" si="22"/>
        <v>0</v>
      </c>
      <c r="N125" s="513"/>
      <c r="O125" s="505">
        <f t="shared" si="24"/>
        <v>0</v>
      </c>
      <c r="P125" s="505">
        <f t="shared" si="25"/>
        <v>0</v>
      </c>
      <c r="Q125" s="244"/>
      <c r="R125" s="244"/>
      <c r="S125" s="244"/>
      <c r="T125" s="244"/>
      <c r="U125" s="244"/>
    </row>
    <row r="126" spans="2:21">
      <c r="B126" s="145" t="str">
        <f t="shared" si="20"/>
        <v/>
      </c>
      <c r="C126" s="496">
        <f>IF(D94="","-",+C125+1)</f>
        <v>2037</v>
      </c>
      <c r="D126" s="350">
        <f>IF(F125+SUM(E$100:E125)=D$93,F125,D$93-SUM(E$100:E125))</f>
        <v>91408.589297224826</v>
      </c>
      <c r="E126" s="510">
        <f>IF(+J97&lt;F125,J97,D126)</f>
        <v>24590.12</v>
      </c>
      <c r="F126" s="511">
        <f t="shared" si="31"/>
        <v>66818.46929722483</v>
      </c>
      <c r="G126" s="511">
        <f t="shared" si="32"/>
        <v>79113.529297224828</v>
      </c>
      <c r="H126" s="646">
        <f t="shared" si="33"/>
        <v>33922.511182225579</v>
      </c>
      <c r="I126" s="573">
        <f t="shared" si="34"/>
        <v>33922.511182225579</v>
      </c>
      <c r="J126" s="505">
        <f t="shared" si="27"/>
        <v>0</v>
      </c>
      <c r="K126" s="505"/>
      <c r="L126" s="513"/>
      <c r="M126" s="505">
        <f t="shared" si="22"/>
        <v>0</v>
      </c>
      <c r="N126" s="513"/>
      <c r="O126" s="505">
        <f t="shared" si="24"/>
        <v>0</v>
      </c>
      <c r="P126" s="505">
        <f t="shared" si="25"/>
        <v>0</v>
      </c>
      <c r="Q126" s="244"/>
      <c r="R126" s="244"/>
      <c r="S126" s="244"/>
      <c r="T126" s="244"/>
      <c r="U126" s="244"/>
    </row>
    <row r="127" spans="2:21">
      <c r="B127" s="145" t="str">
        <f t="shared" si="20"/>
        <v/>
      </c>
      <c r="C127" s="496">
        <f>IF(D94="","-",+C126+1)</f>
        <v>2038</v>
      </c>
      <c r="D127" s="350">
        <f>IF(F126+SUM(E$100:E126)=D$93,F126,D$93-SUM(E$100:E126))</f>
        <v>66818.46929722483</v>
      </c>
      <c r="E127" s="510">
        <f>IF(+J97&lt;F126,J97,D127)</f>
        <v>24590.12</v>
      </c>
      <c r="F127" s="511">
        <f t="shared" si="31"/>
        <v>42228.349297224835</v>
      </c>
      <c r="G127" s="511">
        <f t="shared" si="32"/>
        <v>54523.409297224833</v>
      </c>
      <c r="H127" s="646">
        <f t="shared" si="33"/>
        <v>31021.811123760119</v>
      </c>
      <c r="I127" s="573">
        <f t="shared" si="34"/>
        <v>31021.811123760119</v>
      </c>
      <c r="J127" s="505">
        <f t="shared" si="27"/>
        <v>0</v>
      </c>
      <c r="K127" s="505"/>
      <c r="L127" s="513"/>
      <c r="M127" s="505">
        <f t="shared" si="22"/>
        <v>0</v>
      </c>
      <c r="N127" s="513"/>
      <c r="O127" s="505">
        <f t="shared" si="24"/>
        <v>0</v>
      </c>
      <c r="P127" s="505">
        <f t="shared" si="25"/>
        <v>0</v>
      </c>
      <c r="Q127" s="244"/>
      <c r="R127" s="244"/>
      <c r="S127" s="244"/>
      <c r="T127" s="244"/>
      <c r="U127" s="244"/>
    </row>
    <row r="128" spans="2:21">
      <c r="B128" s="145" t="str">
        <f t="shared" si="20"/>
        <v/>
      </c>
      <c r="C128" s="496">
        <f>IF(D94="","-",+C127+1)</f>
        <v>2039</v>
      </c>
      <c r="D128" s="350">
        <f>IF(F127+SUM(E$100:E127)=D$93,F127,D$93-SUM(E$100:E127))</f>
        <v>42228.349297224835</v>
      </c>
      <c r="E128" s="510">
        <f>IF(+J97&lt;F127,J97,D128)</f>
        <v>24590.12</v>
      </c>
      <c r="F128" s="511">
        <f t="shared" si="31"/>
        <v>17638.229297224836</v>
      </c>
      <c r="G128" s="511">
        <f t="shared" si="32"/>
        <v>29933.289297224837</v>
      </c>
      <c r="H128" s="646">
        <f t="shared" si="33"/>
        <v>28121.111065294663</v>
      </c>
      <c r="I128" s="573">
        <f t="shared" si="34"/>
        <v>28121.111065294663</v>
      </c>
      <c r="J128" s="505">
        <f t="shared" si="27"/>
        <v>0</v>
      </c>
      <c r="K128" s="505"/>
      <c r="L128" s="513"/>
      <c r="M128" s="505">
        <f t="shared" si="22"/>
        <v>0</v>
      </c>
      <c r="N128" s="513"/>
      <c r="O128" s="505">
        <f t="shared" si="24"/>
        <v>0</v>
      </c>
      <c r="P128" s="505">
        <f t="shared" si="25"/>
        <v>0</v>
      </c>
      <c r="Q128" s="244"/>
      <c r="R128" s="244"/>
      <c r="S128" s="244"/>
      <c r="T128" s="244"/>
      <c r="U128" s="244"/>
    </row>
    <row r="129" spans="2:21">
      <c r="B129" s="145" t="str">
        <f t="shared" si="20"/>
        <v/>
      </c>
      <c r="C129" s="496">
        <f>IF(D94="","-",+C128+1)</f>
        <v>2040</v>
      </c>
      <c r="D129" s="350">
        <f>IF(F128+SUM(E$100:E128)=D$93,F128,D$93-SUM(E$100:E128))</f>
        <v>17638.229297224836</v>
      </c>
      <c r="E129" s="510">
        <f>IF(+J97&lt;F128,J97,D129)</f>
        <v>17638.229297224836</v>
      </c>
      <c r="F129" s="511">
        <f t="shared" si="31"/>
        <v>0</v>
      </c>
      <c r="G129" s="511">
        <f t="shared" si="32"/>
        <v>8819.114648612418</v>
      </c>
      <c r="H129" s="646">
        <f t="shared" si="33"/>
        <v>18678.549815255803</v>
      </c>
      <c r="I129" s="573">
        <f t="shared" si="34"/>
        <v>18678.549815255803</v>
      </c>
      <c r="J129" s="505">
        <f t="shared" si="27"/>
        <v>0</v>
      </c>
      <c r="K129" s="505"/>
      <c r="L129" s="513"/>
      <c r="M129" s="505">
        <f t="shared" si="22"/>
        <v>0</v>
      </c>
      <c r="N129" s="513"/>
      <c r="O129" s="505">
        <f t="shared" si="24"/>
        <v>0</v>
      </c>
      <c r="P129" s="505">
        <f t="shared" si="25"/>
        <v>0</v>
      </c>
      <c r="Q129" s="244"/>
      <c r="R129" s="244"/>
      <c r="S129" s="244"/>
      <c r="T129" s="244"/>
      <c r="U129" s="244"/>
    </row>
    <row r="130" spans="2:21">
      <c r="B130" s="145" t="str">
        <f t="shared" si="20"/>
        <v/>
      </c>
      <c r="C130" s="496">
        <f>IF(D94="","-",+C129+1)</f>
        <v>2041</v>
      </c>
      <c r="D130" s="350">
        <f>IF(F129+SUM(E$100:E129)=D$93,F129,D$93-SUM(E$100:E129))</f>
        <v>0</v>
      </c>
      <c r="E130" s="510">
        <f>IF(+J97&lt;F129,J97,D130)</f>
        <v>0</v>
      </c>
      <c r="F130" s="511">
        <f t="shared" si="31"/>
        <v>0</v>
      </c>
      <c r="G130" s="511">
        <f t="shared" si="32"/>
        <v>0</v>
      </c>
      <c r="H130" s="646">
        <f t="shared" si="33"/>
        <v>0</v>
      </c>
      <c r="I130" s="573">
        <f t="shared" si="34"/>
        <v>0</v>
      </c>
      <c r="J130" s="505">
        <f t="shared" si="27"/>
        <v>0</v>
      </c>
      <c r="K130" s="505"/>
      <c r="L130" s="513"/>
      <c r="M130" s="505">
        <f t="shared" si="22"/>
        <v>0</v>
      </c>
      <c r="N130" s="513"/>
      <c r="O130" s="505">
        <f t="shared" si="24"/>
        <v>0</v>
      </c>
      <c r="P130" s="505">
        <f t="shared" si="25"/>
        <v>0</v>
      </c>
      <c r="Q130" s="244"/>
      <c r="R130" s="244"/>
      <c r="S130" s="244"/>
      <c r="T130" s="244"/>
      <c r="U130" s="244"/>
    </row>
    <row r="131" spans="2:21">
      <c r="B131" s="145" t="str">
        <f t="shared" si="20"/>
        <v/>
      </c>
      <c r="C131" s="496">
        <f>IF(D94="","-",+C130+1)</f>
        <v>2042</v>
      </c>
      <c r="D131" s="350">
        <f>IF(F130+SUM(E$100:E130)=D$93,F130,D$93-SUM(E$100:E130))</f>
        <v>0</v>
      </c>
      <c r="E131" s="510">
        <f>IF(+J97&lt;F130,J97,D131)</f>
        <v>0</v>
      </c>
      <c r="F131" s="511">
        <f t="shared" si="31"/>
        <v>0</v>
      </c>
      <c r="G131" s="511">
        <f t="shared" si="32"/>
        <v>0</v>
      </c>
      <c r="H131" s="646">
        <f t="shared" si="33"/>
        <v>0</v>
      </c>
      <c r="I131" s="573">
        <f t="shared" si="34"/>
        <v>0</v>
      </c>
      <c r="J131" s="505">
        <f t="shared" si="27"/>
        <v>0</v>
      </c>
      <c r="K131" s="505"/>
      <c r="L131" s="513"/>
      <c r="M131" s="505">
        <f t="shared" si="22"/>
        <v>0</v>
      </c>
      <c r="N131" s="513"/>
      <c r="O131" s="505">
        <f t="shared" si="24"/>
        <v>0</v>
      </c>
      <c r="P131" s="505">
        <f t="shared" si="25"/>
        <v>0</v>
      </c>
      <c r="Q131" s="244"/>
      <c r="R131" s="244"/>
      <c r="S131" s="244"/>
      <c r="T131" s="244"/>
      <c r="U131" s="244"/>
    </row>
    <row r="132" spans="2:21">
      <c r="B132" s="145" t="str">
        <f t="shared" ref="B132:B155" si="35">IF(D132=F131,"","IU")</f>
        <v/>
      </c>
      <c r="C132" s="496">
        <f>IF(D94="","-",+C131+1)</f>
        <v>2043</v>
      </c>
      <c r="D132" s="350">
        <f>IF(F131+SUM(E$100:E131)=D$93,F131,D$93-SUM(E$100:E131))</f>
        <v>0</v>
      </c>
      <c r="E132" s="510">
        <f>IF(+J97&lt;F131,J97,D132)</f>
        <v>0</v>
      </c>
      <c r="F132" s="511">
        <f t="shared" si="31"/>
        <v>0</v>
      </c>
      <c r="G132" s="511">
        <f t="shared" ref="G132:G155" si="36">+(F132+D132)/2</f>
        <v>0</v>
      </c>
      <c r="H132" s="646">
        <f t="shared" si="33"/>
        <v>0</v>
      </c>
      <c r="I132" s="573">
        <f t="shared" ref="I132:I155" si="37">+J$96*G132+E132</f>
        <v>0</v>
      </c>
      <c r="J132" s="505">
        <f t="shared" ref="J132:J155" si="38">+I132-H132</f>
        <v>0</v>
      </c>
      <c r="K132" s="505"/>
      <c r="L132" s="513"/>
      <c r="M132" s="505">
        <f t="shared" ref="M132:M155" si="39">IF(L132&lt;&gt;0,+H132-L132,0)</f>
        <v>0</v>
      </c>
      <c r="N132" s="513"/>
      <c r="O132" s="505">
        <f t="shared" ref="O132:O155" si="40">IF(N132&lt;&gt;0,+I132-N132,0)</f>
        <v>0</v>
      </c>
      <c r="P132" s="505">
        <f t="shared" ref="P132:P155" si="41">+O132-M132</f>
        <v>0</v>
      </c>
      <c r="Q132" s="244"/>
      <c r="R132" s="244"/>
      <c r="S132" s="244"/>
      <c r="T132" s="244"/>
      <c r="U132" s="244"/>
    </row>
    <row r="133" spans="2:21">
      <c r="B133" s="145" t="str">
        <f t="shared" si="35"/>
        <v/>
      </c>
      <c r="C133" s="496">
        <f>IF(D94="","-",+C132+1)</f>
        <v>2044</v>
      </c>
      <c r="D133" s="350">
        <f>IF(F132+SUM(E$100:E132)=D$93,F132,D$93-SUM(E$100:E132))</f>
        <v>0</v>
      </c>
      <c r="E133" s="510">
        <f>IF(+J97&lt;F132,J97,D133)</f>
        <v>0</v>
      </c>
      <c r="F133" s="511">
        <f t="shared" ref="F133:F155" si="42">+D133-E133</f>
        <v>0</v>
      </c>
      <c r="G133" s="511">
        <f t="shared" si="36"/>
        <v>0</v>
      </c>
      <c r="H133" s="646">
        <f t="shared" si="33"/>
        <v>0</v>
      </c>
      <c r="I133" s="573">
        <f t="shared" si="37"/>
        <v>0</v>
      </c>
      <c r="J133" s="505">
        <f t="shared" si="38"/>
        <v>0</v>
      </c>
      <c r="K133" s="505"/>
      <c r="L133" s="513"/>
      <c r="M133" s="505">
        <f t="shared" si="39"/>
        <v>0</v>
      </c>
      <c r="N133" s="513"/>
      <c r="O133" s="505">
        <f t="shared" si="40"/>
        <v>0</v>
      </c>
      <c r="P133" s="505">
        <f t="shared" si="41"/>
        <v>0</v>
      </c>
      <c r="Q133" s="244"/>
      <c r="R133" s="244"/>
      <c r="S133" s="244"/>
      <c r="T133" s="244"/>
      <c r="U133" s="244"/>
    </row>
    <row r="134" spans="2:21">
      <c r="B134" s="145" t="str">
        <f t="shared" si="35"/>
        <v/>
      </c>
      <c r="C134" s="496">
        <f>IF(D94="","-",+C133+1)</f>
        <v>2045</v>
      </c>
      <c r="D134" s="350">
        <f>IF(F133+SUM(E$100:E133)=D$93,F133,D$93-SUM(E$100:E133))</f>
        <v>0</v>
      </c>
      <c r="E134" s="510">
        <f>IF(+J97&lt;F133,J97,D134)</f>
        <v>0</v>
      </c>
      <c r="F134" s="511">
        <f t="shared" si="42"/>
        <v>0</v>
      </c>
      <c r="G134" s="511">
        <f t="shared" si="36"/>
        <v>0</v>
      </c>
      <c r="H134" s="646">
        <f t="shared" si="33"/>
        <v>0</v>
      </c>
      <c r="I134" s="573">
        <f t="shared" si="37"/>
        <v>0</v>
      </c>
      <c r="J134" s="505">
        <f t="shared" si="38"/>
        <v>0</v>
      </c>
      <c r="K134" s="505"/>
      <c r="L134" s="513"/>
      <c r="M134" s="505">
        <f t="shared" si="39"/>
        <v>0</v>
      </c>
      <c r="N134" s="513"/>
      <c r="O134" s="505">
        <f t="shared" si="40"/>
        <v>0</v>
      </c>
      <c r="P134" s="505">
        <f t="shared" si="41"/>
        <v>0</v>
      </c>
      <c r="Q134" s="244"/>
      <c r="R134" s="244"/>
      <c r="S134" s="244"/>
      <c r="T134" s="244"/>
      <c r="U134" s="244"/>
    </row>
    <row r="135" spans="2:21">
      <c r="B135" s="145" t="str">
        <f t="shared" si="35"/>
        <v/>
      </c>
      <c r="C135" s="496">
        <f>IF(D94="","-",+C134+1)</f>
        <v>2046</v>
      </c>
      <c r="D135" s="350">
        <f>IF(F134+SUM(E$100:E134)=D$93,F134,D$93-SUM(E$100:E134))</f>
        <v>0</v>
      </c>
      <c r="E135" s="510">
        <f>IF(+J97&lt;F134,J97,D135)</f>
        <v>0</v>
      </c>
      <c r="F135" s="511">
        <f t="shared" si="42"/>
        <v>0</v>
      </c>
      <c r="G135" s="511">
        <f t="shared" si="36"/>
        <v>0</v>
      </c>
      <c r="H135" s="646">
        <f t="shared" si="33"/>
        <v>0</v>
      </c>
      <c r="I135" s="573">
        <f t="shared" si="37"/>
        <v>0</v>
      </c>
      <c r="J135" s="505">
        <f t="shared" si="38"/>
        <v>0</v>
      </c>
      <c r="K135" s="505"/>
      <c r="L135" s="513"/>
      <c r="M135" s="505">
        <f t="shared" si="39"/>
        <v>0</v>
      </c>
      <c r="N135" s="513"/>
      <c r="O135" s="505">
        <f t="shared" si="40"/>
        <v>0</v>
      </c>
      <c r="P135" s="505">
        <f t="shared" si="41"/>
        <v>0</v>
      </c>
      <c r="Q135" s="244"/>
      <c r="R135" s="244"/>
      <c r="S135" s="244"/>
      <c r="T135" s="244"/>
      <c r="U135" s="244"/>
    </row>
    <row r="136" spans="2:21">
      <c r="B136" s="145" t="str">
        <f t="shared" si="35"/>
        <v/>
      </c>
      <c r="C136" s="496">
        <f>IF(D94="","-",+C135+1)</f>
        <v>2047</v>
      </c>
      <c r="D136" s="350">
        <f>IF(F135+SUM(E$100:E135)=D$93,F135,D$93-SUM(E$100:E135))</f>
        <v>0</v>
      </c>
      <c r="E136" s="510">
        <f>IF(+J97&lt;F135,J97,D136)</f>
        <v>0</v>
      </c>
      <c r="F136" s="511">
        <f t="shared" si="42"/>
        <v>0</v>
      </c>
      <c r="G136" s="511">
        <f t="shared" si="36"/>
        <v>0</v>
      </c>
      <c r="H136" s="646">
        <f t="shared" si="33"/>
        <v>0</v>
      </c>
      <c r="I136" s="573">
        <f t="shared" si="37"/>
        <v>0</v>
      </c>
      <c r="J136" s="505">
        <f t="shared" si="38"/>
        <v>0</v>
      </c>
      <c r="K136" s="505"/>
      <c r="L136" s="513"/>
      <c r="M136" s="505">
        <f t="shared" si="39"/>
        <v>0</v>
      </c>
      <c r="N136" s="513"/>
      <c r="O136" s="505">
        <f t="shared" si="40"/>
        <v>0</v>
      </c>
      <c r="P136" s="505">
        <f t="shared" si="41"/>
        <v>0</v>
      </c>
      <c r="Q136" s="244"/>
      <c r="R136" s="244"/>
      <c r="S136" s="244"/>
      <c r="T136" s="244"/>
      <c r="U136" s="244"/>
    </row>
    <row r="137" spans="2:21">
      <c r="B137" s="145" t="str">
        <f t="shared" si="35"/>
        <v/>
      </c>
      <c r="C137" s="496">
        <f>IF(D94="","-",+C136+1)</f>
        <v>2048</v>
      </c>
      <c r="D137" s="350">
        <f>IF(F136+SUM(E$100:E136)=D$93,F136,D$93-SUM(E$100:E136))</f>
        <v>0</v>
      </c>
      <c r="E137" s="510">
        <f>IF(+J97&lt;F136,J97,D137)</f>
        <v>0</v>
      </c>
      <c r="F137" s="511">
        <f t="shared" si="42"/>
        <v>0</v>
      </c>
      <c r="G137" s="511">
        <f t="shared" si="36"/>
        <v>0</v>
      </c>
      <c r="H137" s="646">
        <f t="shared" si="33"/>
        <v>0</v>
      </c>
      <c r="I137" s="573">
        <f t="shared" si="37"/>
        <v>0</v>
      </c>
      <c r="J137" s="505">
        <f t="shared" si="38"/>
        <v>0</v>
      </c>
      <c r="K137" s="505"/>
      <c r="L137" s="513"/>
      <c r="M137" s="505">
        <f t="shared" si="39"/>
        <v>0</v>
      </c>
      <c r="N137" s="513"/>
      <c r="O137" s="505">
        <f t="shared" si="40"/>
        <v>0</v>
      </c>
      <c r="P137" s="505">
        <f t="shared" si="41"/>
        <v>0</v>
      </c>
      <c r="Q137" s="244"/>
      <c r="R137" s="244"/>
      <c r="S137" s="244"/>
      <c r="T137" s="244"/>
      <c r="U137" s="244"/>
    </row>
    <row r="138" spans="2:21">
      <c r="B138" s="145" t="str">
        <f t="shared" si="35"/>
        <v/>
      </c>
      <c r="C138" s="496">
        <f>IF(D94="","-",+C137+1)</f>
        <v>2049</v>
      </c>
      <c r="D138" s="350">
        <f>IF(F137+SUM(E$100:E137)=D$93,F137,D$93-SUM(E$100:E137))</f>
        <v>0</v>
      </c>
      <c r="E138" s="510">
        <f>IF(+J97&lt;F137,J97,D138)</f>
        <v>0</v>
      </c>
      <c r="F138" s="511">
        <f t="shared" si="42"/>
        <v>0</v>
      </c>
      <c r="G138" s="511">
        <f t="shared" si="36"/>
        <v>0</v>
      </c>
      <c r="H138" s="646">
        <f t="shared" si="33"/>
        <v>0</v>
      </c>
      <c r="I138" s="573">
        <f t="shared" si="37"/>
        <v>0</v>
      </c>
      <c r="J138" s="505">
        <f t="shared" si="38"/>
        <v>0</v>
      </c>
      <c r="K138" s="505"/>
      <c r="L138" s="513"/>
      <c r="M138" s="505">
        <f t="shared" si="39"/>
        <v>0</v>
      </c>
      <c r="N138" s="513"/>
      <c r="O138" s="505">
        <f t="shared" si="40"/>
        <v>0</v>
      </c>
      <c r="P138" s="505">
        <f t="shared" si="41"/>
        <v>0</v>
      </c>
      <c r="Q138" s="244"/>
      <c r="R138" s="244"/>
      <c r="S138" s="244"/>
      <c r="T138" s="244"/>
      <c r="U138" s="244"/>
    </row>
    <row r="139" spans="2:21">
      <c r="B139" s="145" t="str">
        <f t="shared" si="35"/>
        <v/>
      </c>
      <c r="C139" s="496">
        <f>IF(D94="","-",+C138+1)</f>
        <v>2050</v>
      </c>
      <c r="D139" s="350">
        <f>IF(F138+SUM(E$100:E138)=D$93,F138,D$93-SUM(E$100:E138))</f>
        <v>0</v>
      </c>
      <c r="E139" s="510">
        <f>IF(+J97&lt;F138,J97,D139)</f>
        <v>0</v>
      </c>
      <c r="F139" s="511">
        <f t="shared" si="42"/>
        <v>0</v>
      </c>
      <c r="G139" s="511">
        <f t="shared" si="36"/>
        <v>0</v>
      </c>
      <c r="H139" s="646">
        <f t="shared" si="33"/>
        <v>0</v>
      </c>
      <c r="I139" s="573">
        <f t="shared" si="37"/>
        <v>0</v>
      </c>
      <c r="J139" s="505">
        <f t="shared" si="38"/>
        <v>0</v>
      </c>
      <c r="K139" s="505"/>
      <c r="L139" s="513"/>
      <c r="M139" s="505">
        <f t="shared" si="39"/>
        <v>0</v>
      </c>
      <c r="N139" s="513"/>
      <c r="O139" s="505">
        <f t="shared" si="40"/>
        <v>0</v>
      </c>
      <c r="P139" s="505">
        <f t="shared" si="41"/>
        <v>0</v>
      </c>
      <c r="Q139" s="244"/>
      <c r="R139" s="244"/>
      <c r="S139" s="244"/>
      <c r="T139" s="244"/>
      <c r="U139" s="244"/>
    </row>
    <row r="140" spans="2:21">
      <c r="B140" s="145" t="str">
        <f t="shared" si="35"/>
        <v/>
      </c>
      <c r="C140" s="496">
        <f>IF(D94="","-",+C139+1)</f>
        <v>2051</v>
      </c>
      <c r="D140" s="350">
        <f>IF(F139+SUM(E$100:E139)=D$93,F139,D$93-SUM(E$100:E139))</f>
        <v>0</v>
      </c>
      <c r="E140" s="510">
        <f>IF(+J97&lt;F139,J97,D140)</f>
        <v>0</v>
      </c>
      <c r="F140" s="511">
        <f t="shared" si="42"/>
        <v>0</v>
      </c>
      <c r="G140" s="511">
        <f t="shared" si="36"/>
        <v>0</v>
      </c>
      <c r="H140" s="646">
        <f t="shared" si="33"/>
        <v>0</v>
      </c>
      <c r="I140" s="573">
        <f t="shared" si="37"/>
        <v>0</v>
      </c>
      <c r="J140" s="505">
        <f t="shared" si="38"/>
        <v>0</v>
      </c>
      <c r="K140" s="505"/>
      <c r="L140" s="513"/>
      <c r="M140" s="505">
        <f t="shared" si="39"/>
        <v>0</v>
      </c>
      <c r="N140" s="513"/>
      <c r="O140" s="505">
        <f t="shared" si="40"/>
        <v>0</v>
      </c>
      <c r="P140" s="505">
        <f t="shared" si="41"/>
        <v>0</v>
      </c>
      <c r="Q140" s="244"/>
      <c r="R140" s="244"/>
      <c r="S140" s="244"/>
      <c r="T140" s="244"/>
      <c r="U140" s="244"/>
    </row>
    <row r="141" spans="2:21">
      <c r="B141" s="145" t="str">
        <f t="shared" si="35"/>
        <v/>
      </c>
      <c r="C141" s="496">
        <f>IF(D94="","-",+C140+1)</f>
        <v>2052</v>
      </c>
      <c r="D141" s="350">
        <f>IF(F140+SUM(E$100:E140)=D$93,F140,D$93-SUM(E$100:E140))</f>
        <v>0</v>
      </c>
      <c r="E141" s="510">
        <f>IF(+J97&lt;F140,J97,D141)</f>
        <v>0</v>
      </c>
      <c r="F141" s="511">
        <f t="shared" si="42"/>
        <v>0</v>
      </c>
      <c r="G141" s="511">
        <f t="shared" si="36"/>
        <v>0</v>
      </c>
      <c r="H141" s="646">
        <f t="shared" si="33"/>
        <v>0</v>
      </c>
      <c r="I141" s="573">
        <f t="shared" si="37"/>
        <v>0</v>
      </c>
      <c r="J141" s="505">
        <f t="shared" si="38"/>
        <v>0</v>
      </c>
      <c r="K141" s="505"/>
      <c r="L141" s="513"/>
      <c r="M141" s="505">
        <f t="shared" si="39"/>
        <v>0</v>
      </c>
      <c r="N141" s="513"/>
      <c r="O141" s="505">
        <f t="shared" si="40"/>
        <v>0</v>
      </c>
      <c r="P141" s="505">
        <f t="shared" si="41"/>
        <v>0</v>
      </c>
      <c r="Q141" s="244"/>
      <c r="R141" s="244"/>
      <c r="S141" s="244"/>
      <c r="T141" s="244"/>
      <c r="U141" s="244"/>
    </row>
    <row r="142" spans="2:21">
      <c r="B142" s="145" t="str">
        <f t="shared" si="35"/>
        <v/>
      </c>
      <c r="C142" s="496">
        <f>IF(D94="","-",+C141+1)</f>
        <v>2053</v>
      </c>
      <c r="D142" s="350">
        <f>IF(F141+SUM(E$100:E141)=D$93,F141,D$93-SUM(E$100:E141))</f>
        <v>0</v>
      </c>
      <c r="E142" s="510">
        <f>IF(+J97&lt;F141,J97,D142)</f>
        <v>0</v>
      </c>
      <c r="F142" s="511">
        <f t="shared" si="42"/>
        <v>0</v>
      </c>
      <c r="G142" s="511">
        <f t="shared" si="36"/>
        <v>0</v>
      </c>
      <c r="H142" s="646">
        <f t="shared" si="33"/>
        <v>0</v>
      </c>
      <c r="I142" s="573">
        <f t="shared" si="37"/>
        <v>0</v>
      </c>
      <c r="J142" s="505">
        <f t="shared" si="38"/>
        <v>0</v>
      </c>
      <c r="K142" s="505"/>
      <c r="L142" s="513"/>
      <c r="M142" s="505">
        <f t="shared" si="39"/>
        <v>0</v>
      </c>
      <c r="N142" s="513"/>
      <c r="O142" s="505">
        <f t="shared" si="40"/>
        <v>0</v>
      </c>
      <c r="P142" s="505">
        <f t="shared" si="41"/>
        <v>0</v>
      </c>
      <c r="Q142" s="244"/>
      <c r="R142" s="244"/>
      <c r="S142" s="244"/>
      <c r="T142" s="244"/>
      <c r="U142" s="244"/>
    </row>
    <row r="143" spans="2:21">
      <c r="B143" s="145" t="str">
        <f t="shared" si="35"/>
        <v/>
      </c>
      <c r="C143" s="496">
        <f>IF(D94="","-",+C142+1)</f>
        <v>2054</v>
      </c>
      <c r="D143" s="350">
        <f>IF(F142+SUM(E$100:E142)=D$93,F142,D$93-SUM(E$100:E142))</f>
        <v>0</v>
      </c>
      <c r="E143" s="510">
        <f>IF(+J97&lt;F142,J97,D143)</f>
        <v>0</v>
      </c>
      <c r="F143" s="511">
        <f t="shared" si="42"/>
        <v>0</v>
      </c>
      <c r="G143" s="511">
        <f t="shared" si="36"/>
        <v>0</v>
      </c>
      <c r="H143" s="646">
        <f t="shared" si="33"/>
        <v>0</v>
      </c>
      <c r="I143" s="573">
        <f t="shared" si="37"/>
        <v>0</v>
      </c>
      <c r="J143" s="505">
        <f t="shared" si="38"/>
        <v>0</v>
      </c>
      <c r="K143" s="505"/>
      <c r="L143" s="513"/>
      <c r="M143" s="505">
        <f t="shared" si="39"/>
        <v>0</v>
      </c>
      <c r="N143" s="513"/>
      <c r="O143" s="505">
        <f t="shared" si="40"/>
        <v>0</v>
      </c>
      <c r="P143" s="505">
        <f t="shared" si="41"/>
        <v>0</v>
      </c>
      <c r="Q143" s="244"/>
      <c r="R143" s="244"/>
      <c r="S143" s="244"/>
      <c r="T143" s="244"/>
      <c r="U143" s="244"/>
    </row>
    <row r="144" spans="2:21">
      <c r="B144" s="145" t="str">
        <f t="shared" si="35"/>
        <v/>
      </c>
      <c r="C144" s="496">
        <f>IF(D94="","-",+C143+1)</f>
        <v>2055</v>
      </c>
      <c r="D144" s="350">
        <f>IF(F143+SUM(E$100:E143)=D$93,F143,D$93-SUM(E$100:E143))</f>
        <v>0</v>
      </c>
      <c r="E144" s="510">
        <f>IF(+J97&lt;F143,J97,D144)</f>
        <v>0</v>
      </c>
      <c r="F144" s="511">
        <f t="shared" si="42"/>
        <v>0</v>
      </c>
      <c r="G144" s="511">
        <f t="shared" si="36"/>
        <v>0</v>
      </c>
      <c r="H144" s="646">
        <f t="shared" si="33"/>
        <v>0</v>
      </c>
      <c r="I144" s="573">
        <f t="shared" si="37"/>
        <v>0</v>
      </c>
      <c r="J144" s="505">
        <f t="shared" si="38"/>
        <v>0</v>
      </c>
      <c r="K144" s="505"/>
      <c r="L144" s="513"/>
      <c r="M144" s="505">
        <f t="shared" si="39"/>
        <v>0</v>
      </c>
      <c r="N144" s="513"/>
      <c r="O144" s="505">
        <f t="shared" si="40"/>
        <v>0</v>
      </c>
      <c r="P144" s="505">
        <f t="shared" si="41"/>
        <v>0</v>
      </c>
      <c r="Q144" s="244"/>
      <c r="R144" s="244"/>
      <c r="S144" s="244"/>
      <c r="T144" s="244"/>
      <c r="U144" s="244"/>
    </row>
    <row r="145" spans="2:21">
      <c r="B145" s="145" t="str">
        <f t="shared" si="35"/>
        <v/>
      </c>
      <c r="C145" s="496">
        <f>IF(D94="","-",+C144+1)</f>
        <v>2056</v>
      </c>
      <c r="D145" s="350">
        <f>IF(F144+SUM(E$100:E144)=D$93,F144,D$93-SUM(E$100:E144))</f>
        <v>0</v>
      </c>
      <c r="E145" s="510">
        <f>IF(+J97&lt;F144,J97,D145)</f>
        <v>0</v>
      </c>
      <c r="F145" s="511">
        <f t="shared" si="42"/>
        <v>0</v>
      </c>
      <c r="G145" s="511">
        <f t="shared" si="36"/>
        <v>0</v>
      </c>
      <c r="H145" s="646">
        <f t="shared" si="33"/>
        <v>0</v>
      </c>
      <c r="I145" s="573">
        <f t="shared" si="37"/>
        <v>0</v>
      </c>
      <c r="J145" s="505">
        <f t="shared" si="38"/>
        <v>0</v>
      </c>
      <c r="K145" s="505"/>
      <c r="L145" s="513"/>
      <c r="M145" s="505">
        <f t="shared" si="39"/>
        <v>0</v>
      </c>
      <c r="N145" s="513"/>
      <c r="O145" s="505">
        <f t="shared" si="40"/>
        <v>0</v>
      </c>
      <c r="P145" s="505">
        <f t="shared" si="41"/>
        <v>0</v>
      </c>
      <c r="Q145" s="244"/>
      <c r="R145" s="244"/>
      <c r="S145" s="244"/>
      <c r="T145" s="244"/>
      <c r="U145" s="244"/>
    </row>
    <row r="146" spans="2:21">
      <c r="B146" s="145" t="str">
        <f t="shared" si="35"/>
        <v/>
      </c>
      <c r="C146" s="496">
        <f>IF(D94="","-",+C145+1)</f>
        <v>2057</v>
      </c>
      <c r="D146" s="350">
        <f>IF(F145+SUM(E$100:E145)=D$93,F145,D$93-SUM(E$100:E145))</f>
        <v>0</v>
      </c>
      <c r="E146" s="510">
        <f>IF(+J97&lt;F145,J97,D146)</f>
        <v>0</v>
      </c>
      <c r="F146" s="511">
        <f t="shared" si="42"/>
        <v>0</v>
      </c>
      <c r="G146" s="511">
        <f t="shared" si="36"/>
        <v>0</v>
      </c>
      <c r="H146" s="646">
        <f t="shared" si="33"/>
        <v>0</v>
      </c>
      <c r="I146" s="573">
        <f t="shared" si="37"/>
        <v>0</v>
      </c>
      <c r="J146" s="505">
        <f t="shared" si="38"/>
        <v>0</v>
      </c>
      <c r="K146" s="505"/>
      <c r="L146" s="513"/>
      <c r="M146" s="505">
        <f t="shared" si="39"/>
        <v>0</v>
      </c>
      <c r="N146" s="513"/>
      <c r="O146" s="505">
        <f t="shared" si="40"/>
        <v>0</v>
      </c>
      <c r="P146" s="505">
        <f t="shared" si="41"/>
        <v>0</v>
      </c>
      <c r="Q146" s="244"/>
      <c r="R146" s="244"/>
      <c r="S146" s="244"/>
      <c r="T146" s="244"/>
      <c r="U146" s="244"/>
    </row>
    <row r="147" spans="2:21">
      <c r="B147" s="145" t="str">
        <f t="shared" si="35"/>
        <v/>
      </c>
      <c r="C147" s="496">
        <f>IF(D94="","-",+C146+1)</f>
        <v>2058</v>
      </c>
      <c r="D147" s="350">
        <f>IF(F146+SUM(E$100:E146)=D$93,F146,D$93-SUM(E$100:E146))</f>
        <v>0</v>
      </c>
      <c r="E147" s="510">
        <f>IF(+J97&lt;F146,J97,D147)</f>
        <v>0</v>
      </c>
      <c r="F147" s="511">
        <f t="shared" si="42"/>
        <v>0</v>
      </c>
      <c r="G147" s="511">
        <f t="shared" si="36"/>
        <v>0</v>
      </c>
      <c r="H147" s="646">
        <f t="shared" si="33"/>
        <v>0</v>
      </c>
      <c r="I147" s="573">
        <f t="shared" si="37"/>
        <v>0</v>
      </c>
      <c r="J147" s="505">
        <f t="shared" si="38"/>
        <v>0</v>
      </c>
      <c r="K147" s="505"/>
      <c r="L147" s="513"/>
      <c r="M147" s="505">
        <f t="shared" si="39"/>
        <v>0</v>
      </c>
      <c r="N147" s="513"/>
      <c r="O147" s="505">
        <f t="shared" si="40"/>
        <v>0</v>
      </c>
      <c r="P147" s="505">
        <f t="shared" si="41"/>
        <v>0</v>
      </c>
      <c r="Q147" s="244"/>
      <c r="R147" s="244"/>
      <c r="S147" s="244"/>
      <c r="T147" s="244"/>
      <c r="U147" s="244"/>
    </row>
    <row r="148" spans="2:21">
      <c r="B148" s="145" t="str">
        <f t="shared" si="35"/>
        <v/>
      </c>
      <c r="C148" s="496">
        <f>IF(D94="","-",+C147+1)</f>
        <v>2059</v>
      </c>
      <c r="D148" s="350">
        <f>IF(F147+SUM(E$100:E147)=D$93,F147,D$93-SUM(E$100:E147))</f>
        <v>0</v>
      </c>
      <c r="E148" s="510">
        <f>IF(+J97&lt;F147,J97,D148)</f>
        <v>0</v>
      </c>
      <c r="F148" s="511">
        <f t="shared" si="42"/>
        <v>0</v>
      </c>
      <c r="G148" s="511">
        <f t="shared" si="36"/>
        <v>0</v>
      </c>
      <c r="H148" s="646">
        <f t="shared" si="33"/>
        <v>0</v>
      </c>
      <c r="I148" s="573">
        <f t="shared" si="37"/>
        <v>0</v>
      </c>
      <c r="J148" s="505">
        <f t="shared" si="38"/>
        <v>0</v>
      </c>
      <c r="K148" s="505"/>
      <c r="L148" s="513"/>
      <c r="M148" s="505">
        <f t="shared" si="39"/>
        <v>0</v>
      </c>
      <c r="N148" s="513"/>
      <c r="O148" s="505">
        <f t="shared" si="40"/>
        <v>0</v>
      </c>
      <c r="P148" s="505">
        <f t="shared" si="41"/>
        <v>0</v>
      </c>
      <c r="Q148" s="244"/>
      <c r="R148" s="244"/>
      <c r="S148" s="244"/>
      <c r="T148" s="244"/>
      <c r="U148" s="244"/>
    </row>
    <row r="149" spans="2:21">
      <c r="B149" s="145" t="str">
        <f t="shared" si="35"/>
        <v/>
      </c>
      <c r="C149" s="496">
        <f>IF(D94="","-",+C148+1)</f>
        <v>2060</v>
      </c>
      <c r="D149" s="350">
        <f>IF(F148+SUM(E$100:E148)=D$93,F148,D$93-SUM(E$100:E148))</f>
        <v>0</v>
      </c>
      <c r="E149" s="510">
        <f>IF(+J97&lt;F148,J97,D149)</f>
        <v>0</v>
      </c>
      <c r="F149" s="511">
        <f t="shared" si="42"/>
        <v>0</v>
      </c>
      <c r="G149" s="511">
        <f t="shared" si="36"/>
        <v>0</v>
      </c>
      <c r="H149" s="646">
        <f t="shared" si="33"/>
        <v>0</v>
      </c>
      <c r="I149" s="573">
        <f t="shared" si="37"/>
        <v>0</v>
      </c>
      <c r="J149" s="505">
        <f t="shared" si="38"/>
        <v>0</v>
      </c>
      <c r="K149" s="505"/>
      <c r="L149" s="513"/>
      <c r="M149" s="505">
        <f t="shared" si="39"/>
        <v>0</v>
      </c>
      <c r="N149" s="513"/>
      <c r="O149" s="505">
        <f t="shared" si="40"/>
        <v>0</v>
      </c>
      <c r="P149" s="505">
        <f t="shared" si="41"/>
        <v>0</v>
      </c>
      <c r="Q149" s="244"/>
      <c r="R149" s="244"/>
      <c r="S149" s="244"/>
      <c r="T149" s="244"/>
      <c r="U149" s="244"/>
    </row>
    <row r="150" spans="2:21">
      <c r="B150" s="145" t="str">
        <f t="shared" si="35"/>
        <v/>
      </c>
      <c r="C150" s="496">
        <f>IF(D94="","-",+C149+1)</f>
        <v>2061</v>
      </c>
      <c r="D150" s="350">
        <f>IF(F149+SUM(E$100:E149)=D$93,F149,D$93-SUM(E$100:E149))</f>
        <v>0</v>
      </c>
      <c r="E150" s="510">
        <f>IF(+J97&lt;F149,J97,D150)</f>
        <v>0</v>
      </c>
      <c r="F150" s="511">
        <f t="shared" si="42"/>
        <v>0</v>
      </c>
      <c r="G150" s="511">
        <f t="shared" si="36"/>
        <v>0</v>
      </c>
      <c r="H150" s="646">
        <f t="shared" si="33"/>
        <v>0</v>
      </c>
      <c r="I150" s="573">
        <f t="shared" si="37"/>
        <v>0</v>
      </c>
      <c r="J150" s="505">
        <f t="shared" si="38"/>
        <v>0</v>
      </c>
      <c r="K150" s="505"/>
      <c r="L150" s="513"/>
      <c r="M150" s="505">
        <f t="shared" si="39"/>
        <v>0</v>
      </c>
      <c r="N150" s="513"/>
      <c r="O150" s="505">
        <f t="shared" si="40"/>
        <v>0</v>
      </c>
      <c r="P150" s="505">
        <f t="shared" si="41"/>
        <v>0</v>
      </c>
      <c r="Q150" s="244"/>
      <c r="R150" s="244"/>
      <c r="S150" s="244"/>
      <c r="T150" s="244"/>
      <c r="U150" s="244"/>
    </row>
    <row r="151" spans="2:21">
      <c r="B151" s="145" t="str">
        <f t="shared" si="35"/>
        <v/>
      </c>
      <c r="C151" s="496">
        <f>IF(D94="","-",+C150+1)</f>
        <v>2062</v>
      </c>
      <c r="D151" s="350">
        <f>IF(F150+SUM(E$100:E150)=D$93,F150,D$93-SUM(E$100:E150))</f>
        <v>0</v>
      </c>
      <c r="E151" s="510">
        <f>IF(+J97&lt;F150,J97,D151)</f>
        <v>0</v>
      </c>
      <c r="F151" s="511">
        <f t="shared" si="42"/>
        <v>0</v>
      </c>
      <c r="G151" s="511">
        <f t="shared" si="36"/>
        <v>0</v>
      </c>
      <c r="H151" s="646">
        <f t="shared" si="33"/>
        <v>0</v>
      </c>
      <c r="I151" s="573">
        <f t="shared" si="37"/>
        <v>0</v>
      </c>
      <c r="J151" s="505">
        <f t="shared" si="38"/>
        <v>0</v>
      </c>
      <c r="K151" s="505"/>
      <c r="L151" s="513"/>
      <c r="M151" s="505">
        <f t="shared" si="39"/>
        <v>0</v>
      </c>
      <c r="N151" s="513"/>
      <c r="O151" s="505">
        <f t="shared" si="40"/>
        <v>0</v>
      </c>
      <c r="P151" s="505">
        <f t="shared" si="41"/>
        <v>0</v>
      </c>
      <c r="Q151" s="244"/>
      <c r="R151" s="244"/>
      <c r="S151" s="244"/>
      <c r="T151" s="244"/>
      <c r="U151" s="244"/>
    </row>
    <row r="152" spans="2:21">
      <c r="B152" s="145" t="str">
        <f t="shared" si="35"/>
        <v/>
      </c>
      <c r="C152" s="496">
        <f>IF(D94="","-",+C151+1)</f>
        <v>2063</v>
      </c>
      <c r="D152" s="350">
        <f>IF(F151+SUM(E$100:E151)=D$93,F151,D$93-SUM(E$100:E151))</f>
        <v>0</v>
      </c>
      <c r="E152" s="510">
        <f>IF(+J97&lt;F151,J97,D152)</f>
        <v>0</v>
      </c>
      <c r="F152" s="511">
        <f t="shared" si="42"/>
        <v>0</v>
      </c>
      <c r="G152" s="511">
        <f t="shared" si="36"/>
        <v>0</v>
      </c>
      <c r="H152" s="646">
        <f t="shared" si="33"/>
        <v>0</v>
      </c>
      <c r="I152" s="573">
        <f t="shared" si="37"/>
        <v>0</v>
      </c>
      <c r="J152" s="505">
        <f t="shared" si="38"/>
        <v>0</v>
      </c>
      <c r="K152" s="505"/>
      <c r="L152" s="513"/>
      <c r="M152" s="505">
        <f t="shared" si="39"/>
        <v>0</v>
      </c>
      <c r="N152" s="513"/>
      <c r="O152" s="505">
        <f t="shared" si="40"/>
        <v>0</v>
      </c>
      <c r="P152" s="505">
        <f t="shared" si="41"/>
        <v>0</v>
      </c>
      <c r="Q152" s="244"/>
      <c r="R152" s="244"/>
      <c r="S152" s="244"/>
      <c r="T152" s="244"/>
      <c r="U152" s="244"/>
    </row>
    <row r="153" spans="2:21">
      <c r="B153" s="145" t="str">
        <f t="shared" si="35"/>
        <v/>
      </c>
      <c r="C153" s="496">
        <f>IF(D94="","-",+C152+1)</f>
        <v>2064</v>
      </c>
      <c r="D153" s="350">
        <f>IF(F152+SUM(E$100:E152)=D$93,F152,D$93-SUM(E$100:E152))</f>
        <v>0</v>
      </c>
      <c r="E153" s="510">
        <f>IF(+J97&lt;F152,J97,D153)</f>
        <v>0</v>
      </c>
      <c r="F153" s="511">
        <f t="shared" si="42"/>
        <v>0</v>
      </c>
      <c r="G153" s="511">
        <f t="shared" si="36"/>
        <v>0</v>
      </c>
      <c r="H153" s="646">
        <f t="shared" si="33"/>
        <v>0</v>
      </c>
      <c r="I153" s="573">
        <f t="shared" si="37"/>
        <v>0</v>
      </c>
      <c r="J153" s="505">
        <f t="shared" si="38"/>
        <v>0</v>
      </c>
      <c r="K153" s="505"/>
      <c r="L153" s="513"/>
      <c r="M153" s="505">
        <f t="shared" si="39"/>
        <v>0</v>
      </c>
      <c r="N153" s="513"/>
      <c r="O153" s="505">
        <f t="shared" si="40"/>
        <v>0</v>
      </c>
      <c r="P153" s="505">
        <f t="shared" si="41"/>
        <v>0</v>
      </c>
      <c r="Q153" s="244"/>
      <c r="R153" s="244"/>
      <c r="S153" s="244"/>
      <c r="T153" s="244"/>
      <c r="U153" s="244"/>
    </row>
    <row r="154" spans="2:21">
      <c r="B154" s="145" t="str">
        <f t="shared" si="35"/>
        <v/>
      </c>
      <c r="C154" s="496">
        <f>IF(D94="","-",+C153+1)</f>
        <v>2065</v>
      </c>
      <c r="D154" s="350">
        <f>IF(F153+SUM(E$100:E153)=D$93,F153,D$93-SUM(E$100:E153))</f>
        <v>0</v>
      </c>
      <c r="E154" s="510">
        <f>IF(+J97&lt;F153,J97,D154)</f>
        <v>0</v>
      </c>
      <c r="F154" s="511">
        <f t="shared" si="42"/>
        <v>0</v>
      </c>
      <c r="G154" s="511">
        <f t="shared" si="36"/>
        <v>0</v>
      </c>
      <c r="H154" s="646">
        <f t="shared" si="33"/>
        <v>0</v>
      </c>
      <c r="I154" s="573">
        <f t="shared" si="37"/>
        <v>0</v>
      </c>
      <c r="J154" s="505">
        <f t="shared" si="38"/>
        <v>0</v>
      </c>
      <c r="K154" s="505"/>
      <c r="L154" s="513"/>
      <c r="M154" s="505">
        <f t="shared" si="39"/>
        <v>0</v>
      </c>
      <c r="N154" s="513"/>
      <c r="O154" s="505">
        <f t="shared" si="40"/>
        <v>0</v>
      </c>
      <c r="P154" s="505">
        <f t="shared" si="41"/>
        <v>0</v>
      </c>
      <c r="Q154" s="244"/>
      <c r="R154" s="244"/>
      <c r="S154" s="244"/>
      <c r="T154" s="244"/>
      <c r="U154" s="244"/>
    </row>
    <row r="155" spans="2:21" ht="13.5" thickBot="1">
      <c r="B155" s="145" t="str">
        <f t="shared" si="35"/>
        <v/>
      </c>
      <c r="C155" s="525">
        <f>IF(D94="","-",+C154+1)</f>
        <v>2066</v>
      </c>
      <c r="D155" s="528">
        <f>IF(F154+SUM(E$100:E154)=D$93,F154,D$93-SUM(E$100:E154))</f>
        <v>0</v>
      </c>
      <c r="E155" s="527">
        <f>IF(+J97&lt;F154,J97,D155)</f>
        <v>0</v>
      </c>
      <c r="F155" s="528">
        <f t="shared" si="42"/>
        <v>0</v>
      </c>
      <c r="G155" s="528">
        <f t="shared" si="36"/>
        <v>0</v>
      </c>
      <c r="H155" s="646">
        <f t="shared" si="33"/>
        <v>0</v>
      </c>
      <c r="I155" s="574">
        <f t="shared" si="37"/>
        <v>0</v>
      </c>
      <c r="J155" s="532">
        <f t="shared" si="38"/>
        <v>0</v>
      </c>
      <c r="K155" s="505"/>
      <c r="L155" s="531"/>
      <c r="M155" s="532">
        <f t="shared" si="39"/>
        <v>0</v>
      </c>
      <c r="N155" s="531"/>
      <c r="O155" s="532">
        <f t="shared" si="40"/>
        <v>0</v>
      </c>
      <c r="P155" s="532">
        <f t="shared" si="41"/>
        <v>0</v>
      </c>
      <c r="Q155" s="244"/>
      <c r="R155" s="244"/>
      <c r="S155" s="244"/>
      <c r="T155" s="244"/>
      <c r="U155" s="244"/>
    </row>
    <row r="156" spans="2:21">
      <c r="C156" s="350" t="s">
        <v>75</v>
      </c>
      <c r="D156" s="295"/>
      <c r="E156" s="295">
        <f>SUM(E100:E155)</f>
        <v>614753.00000000012</v>
      </c>
      <c r="F156" s="295"/>
      <c r="G156" s="295"/>
      <c r="H156" s="295">
        <f>SUM(H100:H155)</f>
        <v>1746890.3985480715</v>
      </c>
      <c r="I156" s="295">
        <f>SUM(I100:I155)</f>
        <v>1746890.3985480715</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6" priority="1" stopIfTrue="1" operator="equal">
      <formula>$I$10</formula>
    </cfRule>
  </conditionalFormatting>
  <conditionalFormatting sqref="C100:C155">
    <cfRule type="cellIs" dxfId="45"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2">
    <tabColor rgb="FF92D050"/>
  </sheetPr>
  <dimension ref="A1:U163"/>
  <sheetViews>
    <sheetView zoomScaleNormal="100" zoomScaleSheetLayoutView="90"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4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5" thickBot="1">
      <c r="C4" s="591" t="s">
        <v>237</v>
      </c>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1273577.8300042083</v>
      </c>
      <c r="P5" s="244"/>
      <c r="R5" s="244"/>
      <c r="S5" s="244"/>
      <c r="T5" s="244"/>
      <c r="U5" s="244"/>
    </row>
    <row r="6" spans="1:21" ht="15.75">
      <c r="C6" s="592" t="s">
        <v>238</v>
      </c>
      <c r="D6" s="293"/>
      <c r="E6" s="244"/>
      <c r="F6" s="244"/>
      <c r="G6" s="244"/>
      <c r="H6" s="450"/>
      <c r="I6" s="450"/>
      <c r="J6" s="451"/>
      <c r="K6" s="452" t="s">
        <v>243</v>
      </c>
      <c r="L6" s="453"/>
      <c r="M6" s="279"/>
      <c r="N6" s="454">
        <f>VLOOKUP(I10,C17:I73,6)</f>
        <v>1273577.8300042083</v>
      </c>
      <c r="O6" s="244"/>
      <c r="P6" s="244"/>
      <c r="R6" s="244"/>
      <c r="S6" s="244"/>
      <c r="T6" s="244"/>
      <c r="U6" s="244"/>
    </row>
    <row r="7" spans="1:21" ht="13.5" thickBot="1">
      <c r="C7" s="455" t="s">
        <v>46</v>
      </c>
      <c r="D7" s="456" t="s">
        <v>201</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200</v>
      </c>
      <c r="E9" s="466"/>
      <c r="F9" s="466"/>
      <c r="G9" s="466"/>
      <c r="H9" s="466"/>
      <c r="I9" s="467"/>
      <c r="J9" s="468"/>
      <c r="O9" s="469"/>
      <c r="P9" s="279"/>
      <c r="R9" s="244"/>
      <c r="S9" s="244"/>
      <c r="T9" s="244"/>
      <c r="U9" s="244"/>
    </row>
    <row r="10" spans="1:21">
      <c r="C10" s="470" t="s">
        <v>49</v>
      </c>
      <c r="D10" s="471">
        <f>11742800*94%</f>
        <v>11038232</v>
      </c>
      <c r="E10" s="300" t="s">
        <v>50</v>
      </c>
      <c r="F10" s="469"/>
      <c r="G10" s="409"/>
      <c r="H10" s="409"/>
      <c r="I10" s="472">
        <f>+'OKT.WS.F.BPU.ATRR.Projected'!R100</f>
        <v>2020</v>
      </c>
      <c r="J10" s="468"/>
      <c r="K10" s="295" t="s">
        <v>51</v>
      </c>
      <c r="O10" s="279"/>
      <c r="P10" s="279"/>
      <c r="R10" s="244"/>
      <c r="S10" s="244"/>
      <c r="T10" s="244"/>
      <c r="U10" s="244"/>
    </row>
    <row r="11" spans="1:21">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6</v>
      </c>
      <c r="E12" s="473" t="s">
        <v>55</v>
      </c>
      <c r="F12" s="409"/>
      <c r="G12" s="221"/>
      <c r="H12" s="221"/>
      <c r="I12" s="477">
        <f>'OKT.WS.F.BPU.ATRR.Projected'!$F$78</f>
        <v>0.1064171487591708</v>
      </c>
      <c r="J12" s="579"/>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324653.8823529412</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49" si="0">IF(D17=F16,"","IU")</f>
        <v>IU</v>
      </c>
      <c r="C17" s="581">
        <f>IF(D11= "","-",D11)</f>
        <v>2011</v>
      </c>
      <c r="D17" s="497">
        <v>12876000</v>
      </c>
      <c r="E17" s="498">
        <v>18562.052446566122</v>
      </c>
      <c r="F17" s="497">
        <v>12857437.947553433</v>
      </c>
      <c r="G17" s="499">
        <v>1690105.6704770608</v>
      </c>
      <c r="H17" s="500">
        <v>1690105.6704770608</v>
      </c>
      <c r="I17" s="585">
        <f t="shared" ref="I17:I49" si="1">H17-G17</f>
        <v>0</v>
      </c>
      <c r="J17" s="351"/>
      <c r="K17" s="593">
        <f t="shared" ref="K17:K22" si="2">G17</f>
        <v>1690105.6704770608</v>
      </c>
      <c r="L17" s="594">
        <f t="shared" ref="L17:L49" si="3">IF(K17&lt;&gt;0,+G17-K17,0)</f>
        <v>0</v>
      </c>
      <c r="M17" s="593">
        <f t="shared" ref="M17:M22" si="4">H17</f>
        <v>1690105.6704770608</v>
      </c>
      <c r="N17" s="595">
        <f t="shared" ref="N17:N49" si="5">IF(M17&lt;&gt;0,+H17-M17,0)</f>
        <v>0</v>
      </c>
      <c r="O17" s="596">
        <f t="shared" ref="O17:O49" si="6">+N17-L17</f>
        <v>0</v>
      </c>
      <c r="P17" s="279"/>
      <c r="R17" s="244"/>
      <c r="S17" s="244"/>
      <c r="T17" s="244"/>
      <c r="U17" s="244"/>
    </row>
    <row r="18" spans="2:21">
      <c r="B18" s="145" t="str">
        <f t="shared" si="0"/>
        <v/>
      </c>
      <c r="C18" s="496">
        <f>IF(D11="","-",+C17+1)</f>
        <v>2012</v>
      </c>
      <c r="D18" s="506">
        <v>12857437.947553433</v>
      </c>
      <c r="E18" s="499">
        <v>203958.10236185769</v>
      </c>
      <c r="F18" s="506">
        <v>12653479.845191576</v>
      </c>
      <c r="G18" s="499">
        <v>1426879.3827639234</v>
      </c>
      <c r="H18" s="500">
        <v>1426879.3827639234</v>
      </c>
      <c r="I18" s="501">
        <v>0</v>
      </c>
      <c r="J18" s="351"/>
      <c r="K18" s="593">
        <f t="shared" si="2"/>
        <v>1426879.3827639234</v>
      </c>
      <c r="L18" s="597">
        <f t="shared" si="3"/>
        <v>0</v>
      </c>
      <c r="M18" s="593">
        <f t="shared" si="4"/>
        <v>1426879.3827639234</v>
      </c>
      <c r="N18" s="595">
        <f t="shared" si="5"/>
        <v>0</v>
      </c>
      <c r="O18" s="597">
        <f t="shared" si="6"/>
        <v>0</v>
      </c>
      <c r="P18" s="279"/>
      <c r="R18" s="244"/>
      <c r="S18" s="244"/>
      <c r="T18" s="244"/>
      <c r="U18" s="244"/>
    </row>
    <row r="19" spans="2:21">
      <c r="B19" s="145" t="str">
        <f t="shared" si="0"/>
        <v>IU</v>
      </c>
      <c r="C19" s="496">
        <f>IF(D11="","-",+C18+1)</f>
        <v>2013</v>
      </c>
      <c r="D19" s="506">
        <v>11520279.845191576</v>
      </c>
      <c r="E19" s="499">
        <v>203141.16446368746</v>
      </c>
      <c r="F19" s="506">
        <v>11317138.680727888</v>
      </c>
      <c r="G19" s="499">
        <v>1439439.106345837</v>
      </c>
      <c r="H19" s="500">
        <v>1439439.106345837</v>
      </c>
      <c r="I19" s="585">
        <v>0</v>
      </c>
      <c r="J19" s="351"/>
      <c r="K19" s="593">
        <f t="shared" si="2"/>
        <v>1439439.106345837</v>
      </c>
      <c r="L19" s="597">
        <f t="shared" ref="L19:L24" si="7">IF(K19&lt;&gt;0,+G19-K19,0)</f>
        <v>0</v>
      </c>
      <c r="M19" s="593">
        <f t="shared" si="4"/>
        <v>1439439.106345837</v>
      </c>
      <c r="N19" s="595">
        <f>IF(M19&lt;&gt;0,+H19-M19,0)</f>
        <v>0</v>
      </c>
      <c r="O19" s="597">
        <f>+N19-L19</f>
        <v>0</v>
      </c>
      <c r="P19" s="279"/>
      <c r="R19" s="244"/>
      <c r="S19" s="244"/>
      <c r="T19" s="244"/>
      <c r="U19" s="244"/>
    </row>
    <row r="20" spans="2:21">
      <c r="B20" s="145" t="str">
        <f t="shared" si="0"/>
        <v/>
      </c>
      <c r="C20" s="496">
        <f>IF(D11="","-",+C19+1)</f>
        <v>2014</v>
      </c>
      <c r="D20" s="506">
        <v>11317138.680727888</v>
      </c>
      <c r="E20" s="499">
        <v>203141.16446368746</v>
      </c>
      <c r="F20" s="506">
        <v>11113997.5162642</v>
      </c>
      <c r="G20" s="499">
        <v>1425984.6077299202</v>
      </c>
      <c r="H20" s="500">
        <v>1425984.6077299202</v>
      </c>
      <c r="I20" s="501">
        <v>0</v>
      </c>
      <c r="J20" s="501"/>
      <c r="K20" s="593">
        <f t="shared" si="2"/>
        <v>1425984.6077299202</v>
      </c>
      <c r="L20" s="597">
        <f t="shared" si="7"/>
        <v>0</v>
      </c>
      <c r="M20" s="593">
        <f t="shared" si="4"/>
        <v>1425984.6077299202</v>
      </c>
      <c r="N20" s="595">
        <f>IF(M20&lt;&gt;0,+H20-M20,0)</f>
        <v>0</v>
      </c>
      <c r="O20" s="597">
        <f>+N20-L20</f>
        <v>0</v>
      </c>
      <c r="P20" s="279"/>
      <c r="R20" s="244"/>
      <c r="S20" s="244"/>
      <c r="T20" s="244"/>
      <c r="U20" s="244"/>
    </row>
    <row r="21" spans="2:21">
      <c r="B21" s="145" t="str">
        <f t="shared" si="0"/>
        <v/>
      </c>
      <c r="C21" s="496">
        <f>IF(D12="","-",+C20+1)</f>
        <v>2015</v>
      </c>
      <c r="D21" s="506">
        <v>11113997.5162642</v>
      </c>
      <c r="E21" s="499">
        <v>203141.16446368746</v>
      </c>
      <c r="F21" s="506">
        <v>10910856.351800513</v>
      </c>
      <c r="G21" s="499">
        <v>1327673.3550101635</v>
      </c>
      <c r="H21" s="500">
        <v>1327673.3550101635</v>
      </c>
      <c r="I21" s="501">
        <v>0</v>
      </c>
      <c r="J21" s="501"/>
      <c r="K21" s="593">
        <f t="shared" si="2"/>
        <v>1327673.3550101635</v>
      </c>
      <c r="L21" s="597">
        <f t="shared" si="7"/>
        <v>0</v>
      </c>
      <c r="M21" s="593">
        <f t="shared" si="4"/>
        <v>1327673.3550101635</v>
      </c>
      <c r="N21" s="595">
        <f>IF(M21&lt;&gt;0,+H21-M21,0)</f>
        <v>0</v>
      </c>
      <c r="O21" s="597">
        <f>+N21-L21</f>
        <v>0</v>
      </c>
      <c r="P21" s="279"/>
      <c r="R21" s="244"/>
      <c r="S21" s="244"/>
      <c r="T21" s="244"/>
      <c r="U21" s="244"/>
    </row>
    <row r="22" spans="2:21">
      <c r="B22" s="145" t="str">
        <f>IF(D22=F21,"","IU")</f>
        <v>IU</v>
      </c>
      <c r="C22" s="496">
        <f>IF(D11="","-",+C21+1)</f>
        <v>2016</v>
      </c>
      <c r="D22" s="506">
        <v>10206288.351800514</v>
      </c>
      <c r="E22" s="499">
        <v>229368.43576510914</v>
      </c>
      <c r="F22" s="506">
        <v>9976919.9160354044</v>
      </c>
      <c r="G22" s="499">
        <v>1305682.2485042256</v>
      </c>
      <c r="H22" s="500">
        <v>1305682.2485042256</v>
      </c>
      <c r="I22" s="501">
        <f t="shared" si="1"/>
        <v>0</v>
      </c>
      <c r="J22" s="501"/>
      <c r="K22" s="593">
        <f t="shared" si="2"/>
        <v>1305682.2485042256</v>
      </c>
      <c r="L22" s="597">
        <f t="shared" si="7"/>
        <v>0</v>
      </c>
      <c r="M22" s="593">
        <f t="shared" si="4"/>
        <v>1305682.2485042256</v>
      </c>
      <c r="N22" s="505">
        <f t="shared" si="5"/>
        <v>0</v>
      </c>
      <c r="O22" s="505">
        <f t="shared" si="6"/>
        <v>0</v>
      </c>
      <c r="P22" s="279"/>
      <c r="R22" s="244"/>
      <c r="S22" s="244"/>
      <c r="T22" s="244"/>
      <c r="U22" s="244"/>
    </row>
    <row r="23" spans="2:21">
      <c r="B23" s="145" t="str">
        <f t="shared" si="0"/>
        <v/>
      </c>
      <c r="C23" s="496">
        <f>IF(D11="","-",+C22+1)</f>
        <v>2017</v>
      </c>
      <c r="D23" s="506">
        <v>9976919.9160354044</v>
      </c>
      <c r="E23" s="499">
        <v>217033.49443183315</v>
      </c>
      <c r="F23" s="506">
        <v>9759886.4216035716</v>
      </c>
      <c r="G23" s="499">
        <v>1301965.4660054925</v>
      </c>
      <c r="H23" s="500">
        <v>1301965.4660054925</v>
      </c>
      <c r="I23" s="501">
        <f t="shared" si="1"/>
        <v>0</v>
      </c>
      <c r="J23" s="501"/>
      <c r="K23" s="593">
        <f>G23</f>
        <v>1301965.4660054925</v>
      </c>
      <c r="L23" s="597">
        <f t="shared" si="7"/>
        <v>0</v>
      </c>
      <c r="M23" s="593">
        <f>H23</f>
        <v>1301965.4660054925</v>
      </c>
      <c r="N23" s="505">
        <f>IF(M23&lt;&gt;0,+H23-M23,0)</f>
        <v>0</v>
      </c>
      <c r="O23" s="505">
        <f>+N23-L23</f>
        <v>0</v>
      </c>
      <c r="P23" s="279"/>
      <c r="R23" s="244"/>
      <c r="S23" s="244"/>
      <c r="T23" s="244"/>
      <c r="U23" s="244"/>
    </row>
    <row r="24" spans="2:21">
      <c r="B24" s="145" t="str">
        <f t="shared" si="0"/>
        <v/>
      </c>
      <c r="C24" s="496">
        <f>IF(D11="","-",+C23+1)</f>
        <v>2018</v>
      </c>
      <c r="D24" s="506">
        <v>9759886.4216035716</v>
      </c>
      <c r="E24" s="499">
        <v>270708.0251158927</v>
      </c>
      <c r="F24" s="506">
        <v>9489178.3964876793</v>
      </c>
      <c r="G24" s="499">
        <v>1401504.2219921714</v>
      </c>
      <c r="H24" s="500">
        <v>1401504.2219921714</v>
      </c>
      <c r="I24" s="501">
        <v>0</v>
      </c>
      <c r="J24" s="501"/>
      <c r="K24" s="593">
        <f>G24</f>
        <v>1401504.2219921714</v>
      </c>
      <c r="L24" s="597">
        <f t="shared" si="7"/>
        <v>0</v>
      </c>
      <c r="M24" s="593">
        <f>H24</f>
        <v>1401504.2219921714</v>
      </c>
      <c r="N24" s="505">
        <f>IF(M24&lt;&gt;0,+H24-M24,0)</f>
        <v>0</v>
      </c>
      <c r="O24" s="505">
        <f>+N24-L24</f>
        <v>0</v>
      </c>
      <c r="P24" s="279"/>
      <c r="R24" s="244"/>
      <c r="S24" s="244"/>
      <c r="T24" s="244"/>
      <c r="U24" s="244"/>
    </row>
    <row r="25" spans="2:21">
      <c r="B25" s="145" t="str">
        <f t="shared" si="0"/>
        <v/>
      </c>
      <c r="C25" s="496">
        <f>IF(D11="","-",+C24+1)</f>
        <v>2019</v>
      </c>
      <c r="D25" s="506">
        <v>9489178.3964876793</v>
      </c>
      <c r="E25" s="499">
        <v>270708.0251158927</v>
      </c>
      <c r="F25" s="506">
        <v>9218470.371371787</v>
      </c>
      <c r="G25" s="499">
        <v>1369698.4581113998</v>
      </c>
      <c r="H25" s="500">
        <v>1369698.4581113998</v>
      </c>
      <c r="I25" s="501">
        <f t="shared" si="1"/>
        <v>0</v>
      </c>
      <c r="J25" s="501"/>
      <c r="K25" s="593">
        <f>G25</f>
        <v>1369698.4581113998</v>
      </c>
      <c r="L25" s="597">
        <f t="shared" ref="L25" si="8">IF(K25&lt;&gt;0,+G25-K25,0)</f>
        <v>0</v>
      </c>
      <c r="M25" s="593">
        <f>H25</f>
        <v>1369698.4581113998</v>
      </c>
      <c r="N25" s="505">
        <f>IF(M25&lt;&gt;0,+H25-M25,0)</f>
        <v>0</v>
      </c>
      <c r="O25" s="505">
        <f>+N25-L25</f>
        <v>0</v>
      </c>
      <c r="P25" s="279"/>
      <c r="R25" s="244"/>
      <c r="S25" s="244"/>
      <c r="T25" s="244"/>
      <c r="U25" s="244"/>
    </row>
    <row r="26" spans="2:21">
      <c r="B26" s="145" t="str">
        <f t="shared" si="0"/>
        <v/>
      </c>
      <c r="C26" s="496">
        <f>IF(D11="","-",+C25+1)</f>
        <v>2020</v>
      </c>
      <c r="D26" s="506">
        <v>9218470.371371787</v>
      </c>
      <c r="E26" s="499">
        <v>323219.08619976818</v>
      </c>
      <c r="F26" s="506">
        <v>8895251.2851720192</v>
      </c>
      <c r="G26" s="499">
        <v>1273577.8300042083</v>
      </c>
      <c r="H26" s="500">
        <v>1273577.8300042083</v>
      </c>
      <c r="I26" s="501">
        <f t="shared" si="1"/>
        <v>0</v>
      </c>
      <c r="J26" s="501"/>
      <c r="K26" s="593">
        <f>G26</f>
        <v>1273577.8300042083</v>
      </c>
      <c r="L26" s="597">
        <f t="shared" ref="L26" si="9">IF(K26&lt;&gt;0,+G26-K26,0)</f>
        <v>0</v>
      </c>
      <c r="M26" s="593">
        <f>H26</f>
        <v>1273577.8300042083</v>
      </c>
      <c r="N26" s="505">
        <f t="shared" si="5"/>
        <v>0</v>
      </c>
      <c r="O26" s="505">
        <f t="shared" si="6"/>
        <v>0</v>
      </c>
      <c r="P26" s="279"/>
      <c r="R26" s="244"/>
      <c r="S26" s="244"/>
      <c r="T26" s="244"/>
      <c r="U26" s="244"/>
    </row>
    <row r="27" spans="2:21">
      <c r="B27" s="145" t="str">
        <f t="shared" si="0"/>
        <v>IU</v>
      </c>
      <c r="C27" s="496">
        <f>IF(D11="","-",+C26+1)</f>
        <v>2021</v>
      </c>
      <c r="D27" s="506">
        <v>8838578.0771085471</v>
      </c>
      <c r="E27" s="499">
        <v>356072</v>
      </c>
      <c r="F27" s="506">
        <v>8482506.0771085471</v>
      </c>
      <c r="G27" s="499">
        <v>1293013.3264763721</v>
      </c>
      <c r="H27" s="500">
        <v>1293013.3264763721</v>
      </c>
      <c r="I27" s="501">
        <f t="shared" si="1"/>
        <v>0</v>
      </c>
      <c r="J27" s="501"/>
      <c r="K27" s="593">
        <f>G27</f>
        <v>1293013.3264763721</v>
      </c>
      <c r="L27" s="597">
        <f t="shared" ref="L27" si="10">IF(K27&lt;&gt;0,+G27-K27,0)</f>
        <v>0</v>
      </c>
      <c r="M27" s="593">
        <f>H27</f>
        <v>1293013.3264763721</v>
      </c>
      <c r="N27" s="505">
        <f t="shared" si="5"/>
        <v>0</v>
      </c>
      <c r="O27" s="505">
        <f t="shared" si="6"/>
        <v>0</v>
      </c>
      <c r="P27" s="279"/>
      <c r="R27" s="244"/>
      <c r="S27" s="244"/>
      <c r="T27" s="244"/>
      <c r="U27" s="244"/>
    </row>
    <row r="28" spans="2:21">
      <c r="B28" s="145" t="str">
        <f t="shared" si="0"/>
        <v>IU</v>
      </c>
      <c r="C28" s="496">
        <f>IF(D11="","-",+C27+1)</f>
        <v>2022</v>
      </c>
      <c r="D28" s="509">
        <f>IF(F27+SUM(E$17:E27)=D$10,F27,D$10-SUM(E$17:E27))</f>
        <v>8539179.2851720173</v>
      </c>
      <c r="E28" s="510">
        <f>IF(+I14&lt;F27,I14,D28)</f>
        <v>324653.8823529412</v>
      </c>
      <c r="F28" s="511">
        <f t="shared" ref="F28:F49" si="11">+D28-E28</f>
        <v>8214525.4028190766</v>
      </c>
      <c r="G28" s="512">
        <f t="shared" ref="G28:G73" si="12">(D28+F28)/2*I$12+E28</f>
        <v>1216094.624377524</v>
      </c>
      <c r="H28" s="478">
        <f t="shared" ref="H28:H73" si="13">+(D28+F28)/2*I$13+E28</f>
        <v>1216094.624377524</v>
      </c>
      <c r="I28" s="501">
        <f t="shared" si="1"/>
        <v>0</v>
      </c>
      <c r="J28" s="501"/>
      <c r="K28" s="513"/>
      <c r="L28" s="505">
        <f t="shared" si="3"/>
        <v>0</v>
      </c>
      <c r="M28" s="513"/>
      <c r="N28" s="505">
        <f t="shared" si="5"/>
        <v>0</v>
      </c>
      <c r="O28" s="505">
        <f t="shared" si="6"/>
        <v>0</v>
      </c>
      <c r="P28" s="279"/>
      <c r="R28" s="244"/>
      <c r="S28" s="244"/>
      <c r="T28" s="244"/>
      <c r="U28" s="244"/>
    </row>
    <row r="29" spans="2:21">
      <c r="B29" s="145" t="str">
        <f t="shared" si="0"/>
        <v/>
      </c>
      <c r="C29" s="496">
        <f>IF(D11="","-",+C28+1)</f>
        <v>2023</v>
      </c>
      <c r="D29" s="509">
        <f>IF(F28+SUM(E$17:E28)=D$10,F28,D$10-SUM(E$17:E28))</f>
        <v>8214525.4028190766</v>
      </c>
      <c r="E29" s="510">
        <f>IF(+I14&lt;F28,I14,D29)</f>
        <v>324653.8823529412</v>
      </c>
      <c r="F29" s="511">
        <f t="shared" si="11"/>
        <v>7889871.5204661358</v>
      </c>
      <c r="G29" s="512">
        <f t="shared" si="12"/>
        <v>1181545.8838839286</v>
      </c>
      <c r="H29" s="478">
        <f t="shared" si="13"/>
        <v>1181545.8838839286</v>
      </c>
      <c r="I29" s="501">
        <f t="shared" si="1"/>
        <v>0</v>
      </c>
      <c r="J29" s="501"/>
      <c r="K29" s="513"/>
      <c r="L29" s="505">
        <f t="shared" si="3"/>
        <v>0</v>
      </c>
      <c r="M29" s="513"/>
      <c r="N29" s="505">
        <f t="shared" si="5"/>
        <v>0</v>
      </c>
      <c r="O29" s="505">
        <f t="shared" si="6"/>
        <v>0</v>
      </c>
      <c r="P29" s="279"/>
      <c r="R29" s="244"/>
      <c r="S29" s="244"/>
      <c r="T29" s="244"/>
      <c r="U29" s="244"/>
    </row>
    <row r="30" spans="2:21">
      <c r="B30" s="145" t="str">
        <f t="shared" si="0"/>
        <v/>
      </c>
      <c r="C30" s="496">
        <f>IF(D11="","-",+C29+1)</f>
        <v>2024</v>
      </c>
      <c r="D30" s="509">
        <f>IF(F29+SUM(E$17:E29)=D$10,F29,D$10-SUM(E$17:E29))</f>
        <v>7889871.5204661358</v>
      </c>
      <c r="E30" s="510">
        <f>IF(+I14&lt;F29,I14,D30)</f>
        <v>324653.8823529412</v>
      </c>
      <c r="F30" s="511">
        <f t="shared" si="11"/>
        <v>7565217.6381131951</v>
      </c>
      <c r="G30" s="512">
        <f t="shared" si="12"/>
        <v>1146997.1433903335</v>
      </c>
      <c r="H30" s="478">
        <f t="shared" si="13"/>
        <v>1146997.1433903335</v>
      </c>
      <c r="I30" s="501">
        <f t="shared" si="1"/>
        <v>0</v>
      </c>
      <c r="J30" s="501"/>
      <c r="K30" s="513"/>
      <c r="L30" s="505">
        <f t="shared" si="3"/>
        <v>0</v>
      </c>
      <c r="M30" s="513"/>
      <c r="N30" s="505">
        <f t="shared" si="5"/>
        <v>0</v>
      </c>
      <c r="O30" s="505">
        <f t="shared" si="6"/>
        <v>0</v>
      </c>
      <c r="P30" s="279"/>
      <c r="R30" s="244"/>
      <c r="S30" s="244"/>
      <c r="T30" s="244"/>
      <c r="U30" s="244"/>
    </row>
    <row r="31" spans="2:21">
      <c r="B31" s="145" t="str">
        <f t="shared" si="0"/>
        <v/>
      </c>
      <c r="C31" s="496">
        <f>IF(D11="","-",+C30+1)</f>
        <v>2025</v>
      </c>
      <c r="D31" s="509">
        <f>IF(F30+SUM(E$17:E30)=D$10,F30,D$10-SUM(E$17:E30))</f>
        <v>7565217.6381131951</v>
      </c>
      <c r="E31" s="598">
        <f>IF(+I14&lt;F30,I14,D31)</f>
        <v>324653.8823529412</v>
      </c>
      <c r="F31" s="511">
        <f>+D31-E31</f>
        <v>7240563.7557602543</v>
      </c>
      <c r="G31" s="512">
        <f t="shared" si="12"/>
        <v>1112448.4028967381</v>
      </c>
      <c r="H31" s="478">
        <f t="shared" si="13"/>
        <v>1112448.4028967381</v>
      </c>
      <c r="I31" s="501">
        <f>H31-G31</f>
        <v>0</v>
      </c>
      <c r="J31" s="501"/>
      <c r="K31" s="513"/>
      <c r="L31" s="505">
        <f>IF(K31&lt;&gt;0,+G31-K31,0)</f>
        <v>0</v>
      </c>
      <c r="M31" s="513"/>
      <c r="N31" s="505">
        <f>IF(M31&lt;&gt;0,+H31-M31,0)</f>
        <v>0</v>
      </c>
      <c r="O31" s="505">
        <f>+N31-L31</f>
        <v>0</v>
      </c>
      <c r="P31" s="279"/>
      <c r="Q31" s="221"/>
      <c r="R31" s="279"/>
      <c r="S31" s="279"/>
      <c r="T31" s="279"/>
      <c r="U31" s="244"/>
    </row>
    <row r="32" spans="2:21">
      <c r="B32" s="145" t="str">
        <f t="shared" si="0"/>
        <v/>
      </c>
      <c r="C32" s="496">
        <f>IF(D12="","-",+C31+1)</f>
        <v>2026</v>
      </c>
      <c r="D32" s="509">
        <f>IF(F31+SUM(E$17:E31)=D$10,F31,D$10-SUM(E$17:E31))</f>
        <v>7240563.7557602543</v>
      </c>
      <c r="E32" s="598">
        <f>IF(+I14&lt;F31,I14,D32)</f>
        <v>324653.8823529412</v>
      </c>
      <c r="F32" s="511">
        <f>+D32-E32</f>
        <v>6915909.8734073136</v>
      </c>
      <c r="G32" s="512">
        <f t="shared" si="12"/>
        <v>1077899.662403143</v>
      </c>
      <c r="H32" s="478">
        <f t="shared" si="13"/>
        <v>1077899.662403143</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2027</v>
      </c>
      <c r="D33" s="509">
        <f>IF(F32+SUM(E$17:E32)=D$10,F32,D$10-SUM(E$17:E32))</f>
        <v>6915909.8734073136</v>
      </c>
      <c r="E33" s="510">
        <f>IF(+I14&lt;F31,I14,D33)</f>
        <v>324653.8823529412</v>
      </c>
      <c r="F33" s="511">
        <f>+D33-E33</f>
        <v>6591255.9910543729</v>
      </c>
      <c r="G33" s="512">
        <f t="shared" si="12"/>
        <v>1043350.9219095478</v>
      </c>
      <c r="H33" s="478">
        <f t="shared" si="13"/>
        <v>1043350.9219095478</v>
      </c>
      <c r="I33" s="501">
        <f>H33-G33</f>
        <v>0</v>
      </c>
      <c r="J33" s="501"/>
      <c r="K33" s="513"/>
      <c r="L33" s="505">
        <f>IF(K33&lt;&gt;0,+G33-K33,0)</f>
        <v>0</v>
      </c>
      <c r="M33" s="513"/>
      <c r="N33" s="505">
        <f>IF(M33&lt;&gt;0,+H33-M33,0)</f>
        <v>0</v>
      </c>
      <c r="O33" s="505">
        <f>+N33-L33</f>
        <v>0</v>
      </c>
      <c r="P33" s="279"/>
      <c r="R33" s="244"/>
      <c r="S33" s="244"/>
      <c r="T33" s="244"/>
      <c r="U33" s="244"/>
    </row>
    <row r="34" spans="2:21">
      <c r="B34" s="145" t="str">
        <f t="shared" si="0"/>
        <v/>
      </c>
      <c r="C34" s="514">
        <f>IF(D11="","-",+C33+1)</f>
        <v>2028</v>
      </c>
      <c r="D34" s="515">
        <f>IF(F33+SUM(E$17:E33)=D$10,F33,D$10-SUM(E$17:E33))</f>
        <v>6591255.9910543729</v>
      </c>
      <c r="E34" s="516">
        <f>IF(+I14&lt;F33,I14,D34)</f>
        <v>324653.8823529412</v>
      </c>
      <c r="F34" s="517">
        <f t="shared" si="11"/>
        <v>6266602.1087014321</v>
      </c>
      <c r="G34" s="518">
        <f t="shared" si="12"/>
        <v>1008802.1814159525</v>
      </c>
      <c r="H34" s="519">
        <f t="shared" si="13"/>
        <v>1008802.1814159525</v>
      </c>
      <c r="I34" s="520">
        <f t="shared" si="1"/>
        <v>0</v>
      </c>
      <c r="J34" s="520"/>
      <c r="K34" s="521"/>
      <c r="L34" s="522">
        <f t="shared" si="3"/>
        <v>0</v>
      </c>
      <c r="M34" s="521"/>
      <c r="N34" s="522">
        <f t="shared" si="5"/>
        <v>0</v>
      </c>
      <c r="O34" s="522">
        <f t="shared" si="6"/>
        <v>0</v>
      </c>
      <c r="P34" s="523"/>
      <c r="Q34" s="217"/>
      <c r="R34" s="523"/>
      <c r="S34" s="523"/>
      <c r="T34" s="523"/>
      <c r="U34" s="244"/>
    </row>
    <row r="35" spans="2:21">
      <c r="B35" s="145" t="str">
        <f t="shared" si="0"/>
        <v/>
      </c>
      <c r="C35" s="496">
        <f>IF(D11="","-",+C34+1)</f>
        <v>2029</v>
      </c>
      <c r="D35" s="509">
        <f>IF(F34+SUM(E$17:E34)=D$10,F34,D$10-SUM(E$17:E34))</f>
        <v>6266602.1087014321</v>
      </c>
      <c r="E35" s="510">
        <f>IF(+I14&lt;F34,I14,D35)</f>
        <v>324653.8823529412</v>
      </c>
      <c r="F35" s="511">
        <f t="shared" si="11"/>
        <v>5941948.2263484914</v>
      </c>
      <c r="G35" s="512">
        <f t="shared" si="12"/>
        <v>974253.44092235726</v>
      </c>
      <c r="H35" s="478">
        <f t="shared" si="13"/>
        <v>974253.44092235726</v>
      </c>
      <c r="I35" s="501">
        <f t="shared" si="1"/>
        <v>0</v>
      </c>
      <c r="J35" s="501"/>
      <c r="K35" s="513"/>
      <c r="L35" s="505">
        <f t="shared" si="3"/>
        <v>0</v>
      </c>
      <c r="M35" s="513"/>
      <c r="N35" s="505">
        <f t="shared" si="5"/>
        <v>0</v>
      </c>
      <c r="O35" s="505">
        <f t="shared" si="6"/>
        <v>0</v>
      </c>
      <c r="P35" s="279"/>
      <c r="R35" s="244"/>
      <c r="S35" s="244"/>
      <c r="T35" s="244"/>
      <c r="U35" s="244"/>
    </row>
    <row r="36" spans="2:21">
      <c r="B36" s="145" t="str">
        <f t="shared" si="0"/>
        <v/>
      </c>
      <c r="C36" s="496">
        <f>IF(D11="","-",+C35+1)</f>
        <v>2030</v>
      </c>
      <c r="D36" s="509">
        <f>IF(F35+SUM(E$17:E35)=D$10,F35,D$10-SUM(E$17:E35))</f>
        <v>5941948.2263484914</v>
      </c>
      <c r="E36" s="510">
        <f>IF(+I14&lt;F35,I14,D36)</f>
        <v>324653.8823529412</v>
      </c>
      <c r="F36" s="511">
        <f t="shared" si="11"/>
        <v>5617294.3439955506</v>
      </c>
      <c r="G36" s="512">
        <f t="shared" si="12"/>
        <v>939704.70042876212</v>
      </c>
      <c r="H36" s="478">
        <f t="shared" si="13"/>
        <v>939704.70042876212</v>
      </c>
      <c r="I36" s="501">
        <f t="shared" si="1"/>
        <v>0</v>
      </c>
      <c r="J36" s="501"/>
      <c r="K36" s="513"/>
      <c r="L36" s="505">
        <f t="shared" si="3"/>
        <v>0</v>
      </c>
      <c r="M36" s="513"/>
      <c r="N36" s="505">
        <f t="shared" si="5"/>
        <v>0</v>
      </c>
      <c r="O36" s="505">
        <f t="shared" si="6"/>
        <v>0</v>
      </c>
      <c r="P36" s="279"/>
      <c r="R36" s="244"/>
      <c r="S36" s="244"/>
      <c r="T36" s="244"/>
      <c r="U36" s="244"/>
    </row>
    <row r="37" spans="2:21">
      <c r="B37" s="145" t="str">
        <f t="shared" si="0"/>
        <v/>
      </c>
      <c r="C37" s="496">
        <f>IF(D11="","-",+C36+1)</f>
        <v>2031</v>
      </c>
      <c r="D37" s="509">
        <f>IF(F36+SUM(E$17:E36)=D$10,F36,D$10-SUM(E$17:E36))</f>
        <v>5617294.3439955506</v>
      </c>
      <c r="E37" s="510">
        <f>IF(+I14&lt;F36,I14,D37)</f>
        <v>324653.8823529412</v>
      </c>
      <c r="F37" s="511">
        <f t="shared" si="11"/>
        <v>5292640.4616426099</v>
      </c>
      <c r="G37" s="512">
        <f t="shared" si="12"/>
        <v>905155.95993516687</v>
      </c>
      <c r="H37" s="478">
        <f t="shared" si="13"/>
        <v>905155.95993516687</v>
      </c>
      <c r="I37" s="501">
        <f t="shared" si="1"/>
        <v>0</v>
      </c>
      <c r="J37" s="501"/>
      <c r="K37" s="513"/>
      <c r="L37" s="505">
        <f t="shared" si="3"/>
        <v>0</v>
      </c>
      <c r="M37" s="513"/>
      <c r="N37" s="505">
        <f t="shared" si="5"/>
        <v>0</v>
      </c>
      <c r="O37" s="505">
        <f t="shared" si="6"/>
        <v>0</v>
      </c>
      <c r="P37" s="279"/>
      <c r="R37" s="244"/>
      <c r="S37" s="244"/>
      <c r="T37" s="244"/>
      <c r="U37" s="244"/>
    </row>
    <row r="38" spans="2:21">
      <c r="B38" s="145" t="str">
        <f t="shared" si="0"/>
        <v/>
      </c>
      <c r="C38" s="496">
        <f>IF(D11="","-",+C37+1)</f>
        <v>2032</v>
      </c>
      <c r="D38" s="509">
        <f>IF(F37+SUM(E$17:E37)=D$10,F37,D$10-SUM(E$17:E37))</f>
        <v>5292640.4616426099</v>
      </c>
      <c r="E38" s="510">
        <f>IF(+I14&lt;F37,I14,D38)</f>
        <v>324653.8823529412</v>
      </c>
      <c r="F38" s="511">
        <f t="shared" si="11"/>
        <v>4967986.5792896692</v>
      </c>
      <c r="G38" s="512">
        <f t="shared" si="12"/>
        <v>870607.21944157162</v>
      </c>
      <c r="H38" s="478">
        <f t="shared" si="13"/>
        <v>870607.21944157162</v>
      </c>
      <c r="I38" s="501">
        <f t="shared" si="1"/>
        <v>0</v>
      </c>
      <c r="J38" s="501"/>
      <c r="K38" s="513"/>
      <c r="L38" s="505">
        <f t="shared" si="3"/>
        <v>0</v>
      </c>
      <c r="M38" s="513"/>
      <c r="N38" s="505">
        <f t="shared" si="5"/>
        <v>0</v>
      </c>
      <c r="O38" s="505">
        <f t="shared" si="6"/>
        <v>0</v>
      </c>
      <c r="P38" s="279"/>
      <c r="R38" s="244"/>
      <c r="S38" s="244"/>
      <c r="T38" s="244"/>
      <c r="U38" s="244"/>
    </row>
    <row r="39" spans="2:21">
      <c r="B39" s="145" t="str">
        <f t="shared" si="0"/>
        <v/>
      </c>
      <c r="C39" s="496">
        <f>IF(D11="","-",+C38+1)</f>
        <v>2033</v>
      </c>
      <c r="D39" s="509">
        <f>IF(F38+SUM(E$17:E38)=D$10,F38,D$10-SUM(E$17:E38))</f>
        <v>4967986.5792896692</v>
      </c>
      <c r="E39" s="510">
        <f>IF(+I14&lt;F38,I14,D39)</f>
        <v>324653.8823529412</v>
      </c>
      <c r="F39" s="511">
        <f t="shared" si="11"/>
        <v>4643332.6969367284</v>
      </c>
      <c r="G39" s="512">
        <f t="shared" si="12"/>
        <v>836058.47894797637</v>
      </c>
      <c r="H39" s="478">
        <f t="shared" si="13"/>
        <v>836058.47894797637</v>
      </c>
      <c r="I39" s="501">
        <f t="shared" si="1"/>
        <v>0</v>
      </c>
      <c r="J39" s="501"/>
      <c r="K39" s="513"/>
      <c r="L39" s="505">
        <f t="shared" si="3"/>
        <v>0</v>
      </c>
      <c r="M39" s="513"/>
      <c r="N39" s="505">
        <f t="shared" si="5"/>
        <v>0</v>
      </c>
      <c r="O39" s="505">
        <f t="shared" si="6"/>
        <v>0</v>
      </c>
      <c r="P39" s="279"/>
      <c r="R39" s="244"/>
      <c r="S39" s="244"/>
      <c r="T39" s="244"/>
      <c r="U39" s="244"/>
    </row>
    <row r="40" spans="2:21">
      <c r="B40" s="145" t="str">
        <f t="shared" si="0"/>
        <v/>
      </c>
      <c r="C40" s="496">
        <f>IF(D11="","-",+C39+1)</f>
        <v>2034</v>
      </c>
      <c r="D40" s="509">
        <f>IF(F39+SUM(E$17:E39)=D$10,F39,D$10-SUM(E$17:E39))</f>
        <v>4643332.6969367284</v>
      </c>
      <c r="E40" s="510">
        <f>IF(+I14&lt;F39,I14,D40)</f>
        <v>324653.8823529412</v>
      </c>
      <c r="F40" s="511">
        <f t="shared" si="11"/>
        <v>4318678.8145837877</v>
      </c>
      <c r="G40" s="512">
        <f t="shared" si="12"/>
        <v>801509.73845438124</v>
      </c>
      <c r="H40" s="478">
        <f t="shared" si="13"/>
        <v>801509.73845438124</v>
      </c>
      <c r="I40" s="501">
        <f t="shared" si="1"/>
        <v>0</v>
      </c>
      <c r="J40" s="501"/>
      <c r="K40" s="513"/>
      <c r="L40" s="505">
        <f t="shared" si="3"/>
        <v>0</v>
      </c>
      <c r="M40" s="513"/>
      <c r="N40" s="505">
        <f t="shared" si="5"/>
        <v>0</v>
      </c>
      <c r="O40" s="505">
        <f t="shared" si="6"/>
        <v>0</v>
      </c>
      <c r="P40" s="279"/>
      <c r="R40" s="244"/>
      <c r="S40" s="244"/>
      <c r="T40" s="244"/>
      <c r="U40" s="244"/>
    </row>
    <row r="41" spans="2:21">
      <c r="B41" s="145" t="str">
        <f t="shared" si="0"/>
        <v/>
      </c>
      <c r="C41" s="496">
        <f>IF(D12="","-",+C40+1)</f>
        <v>2035</v>
      </c>
      <c r="D41" s="509">
        <f>IF(F40+SUM(E$17:E40)=D$10,F40,D$10-SUM(E$17:E40))</f>
        <v>4318678.8145837877</v>
      </c>
      <c r="E41" s="510">
        <f>IF(+I14&lt;F40,I14,D41)</f>
        <v>324653.8823529412</v>
      </c>
      <c r="F41" s="511">
        <f t="shared" si="11"/>
        <v>3994024.9322308465</v>
      </c>
      <c r="G41" s="512">
        <f t="shared" si="12"/>
        <v>766960.99796078587</v>
      </c>
      <c r="H41" s="478">
        <f t="shared" si="13"/>
        <v>766960.99796078587</v>
      </c>
      <c r="I41" s="501">
        <f t="shared" si="1"/>
        <v>0</v>
      </c>
      <c r="J41" s="501"/>
      <c r="K41" s="513"/>
      <c r="L41" s="505">
        <f t="shared" si="3"/>
        <v>0</v>
      </c>
      <c r="M41" s="513"/>
      <c r="N41" s="505">
        <f t="shared" si="5"/>
        <v>0</v>
      </c>
      <c r="O41" s="505">
        <f t="shared" si="6"/>
        <v>0</v>
      </c>
      <c r="P41" s="279"/>
      <c r="R41" s="244"/>
      <c r="S41" s="244"/>
      <c r="T41" s="244"/>
      <c r="U41" s="244"/>
    </row>
    <row r="42" spans="2:21">
      <c r="B42" s="145" t="str">
        <f t="shared" si="0"/>
        <v/>
      </c>
      <c r="C42" s="496">
        <f>IF(D13="","-",+C41+1)</f>
        <v>2036</v>
      </c>
      <c r="D42" s="509">
        <f>IF(F41+SUM(E$17:E41)=D$10,F41,D$10-SUM(E$17:E41))</f>
        <v>3994024.9322308465</v>
      </c>
      <c r="E42" s="510">
        <f>IF(+I14&lt;F41,I14,D42)</f>
        <v>324653.8823529412</v>
      </c>
      <c r="F42" s="511">
        <f t="shared" si="11"/>
        <v>3669371.0498779053</v>
      </c>
      <c r="G42" s="512">
        <f t="shared" si="12"/>
        <v>732412.25746719062</v>
      </c>
      <c r="H42" s="478">
        <f t="shared" si="13"/>
        <v>732412.25746719062</v>
      </c>
      <c r="I42" s="501">
        <f t="shared" si="1"/>
        <v>0</v>
      </c>
      <c r="J42" s="501"/>
      <c r="K42" s="513"/>
      <c r="L42" s="505">
        <f t="shared" si="3"/>
        <v>0</v>
      </c>
      <c r="M42" s="513"/>
      <c r="N42" s="505">
        <f t="shared" si="5"/>
        <v>0</v>
      </c>
      <c r="O42" s="505">
        <f t="shared" si="6"/>
        <v>0</v>
      </c>
      <c r="P42" s="279"/>
      <c r="R42" s="244"/>
      <c r="S42" s="244"/>
      <c r="T42" s="244"/>
      <c r="U42" s="244"/>
    </row>
    <row r="43" spans="2:21">
      <c r="B43" s="145" t="str">
        <f t="shared" si="0"/>
        <v/>
      </c>
      <c r="C43" s="496">
        <f>IF(D14="","-",+C42+1)</f>
        <v>2037</v>
      </c>
      <c r="D43" s="509">
        <f>IF(F42+SUM(E$17:E42)=D$10,F42,D$10-SUM(E$17:E42))</f>
        <v>3669371.0498779053</v>
      </c>
      <c r="E43" s="510">
        <f>IF(+I14&lt;F42,I14,D43)</f>
        <v>324653.8823529412</v>
      </c>
      <c r="F43" s="511">
        <f t="shared" si="11"/>
        <v>3344717.1675249641</v>
      </c>
      <c r="G43" s="512">
        <f t="shared" si="12"/>
        <v>697863.51697359537</v>
      </c>
      <c r="H43" s="478">
        <f t="shared" si="13"/>
        <v>697863.51697359537</v>
      </c>
      <c r="I43" s="501">
        <f t="shared" si="1"/>
        <v>0</v>
      </c>
      <c r="J43" s="501"/>
      <c r="K43" s="513"/>
      <c r="L43" s="505">
        <f t="shared" si="3"/>
        <v>0</v>
      </c>
      <c r="M43" s="513"/>
      <c r="N43" s="505">
        <f t="shared" si="5"/>
        <v>0</v>
      </c>
      <c r="O43" s="505">
        <f t="shared" si="6"/>
        <v>0</v>
      </c>
      <c r="P43" s="279"/>
      <c r="R43" s="244"/>
      <c r="S43" s="244"/>
      <c r="T43" s="244"/>
      <c r="U43" s="244"/>
    </row>
    <row r="44" spans="2:21">
      <c r="B44" s="145" t="str">
        <f t="shared" si="0"/>
        <v/>
      </c>
      <c r="C44" s="496">
        <f>IF(D11="","-",+C43+1)</f>
        <v>2038</v>
      </c>
      <c r="D44" s="509">
        <f>IF(F43+SUM(E$17:E43)=D$10,F43,D$10-SUM(E$17:E43))</f>
        <v>3344717.1675249641</v>
      </c>
      <c r="E44" s="510">
        <f>IF(+I14&lt;F43,I14,D44)</f>
        <v>324653.8823529412</v>
      </c>
      <c r="F44" s="511">
        <f t="shared" si="11"/>
        <v>3020063.2851720229</v>
      </c>
      <c r="G44" s="512">
        <f t="shared" si="12"/>
        <v>663314.77648</v>
      </c>
      <c r="H44" s="478">
        <f t="shared" si="13"/>
        <v>663314.77648</v>
      </c>
      <c r="I44" s="501">
        <f t="shared" si="1"/>
        <v>0</v>
      </c>
      <c r="J44" s="501"/>
      <c r="K44" s="513"/>
      <c r="L44" s="505">
        <f t="shared" si="3"/>
        <v>0</v>
      </c>
      <c r="M44" s="513"/>
      <c r="N44" s="505">
        <f t="shared" si="5"/>
        <v>0</v>
      </c>
      <c r="O44" s="505">
        <f t="shared" si="6"/>
        <v>0</v>
      </c>
      <c r="P44" s="279"/>
      <c r="R44" s="244"/>
      <c r="S44" s="244"/>
      <c r="T44" s="244"/>
      <c r="U44" s="244"/>
    </row>
    <row r="45" spans="2:21">
      <c r="B45" s="145" t="str">
        <f t="shared" si="0"/>
        <v/>
      </c>
      <c r="C45" s="496">
        <f>IF(D11="","-",+C44+1)</f>
        <v>2039</v>
      </c>
      <c r="D45" s="509">
        <f>IF(F44+SUM(E$17:E44)=D$10,F44,D$10-SUM(E$17:E44))</f>
        <v>3020063.2851720229</v>
      </c>
      <c r="E45" s="510">
        <f>IF(+I14&lt;F44,I14,D45)</f>
        <v>324653.8823529412</v>
      </c>
      <c r="F45" s="511">
        <f t="shared" si="11"/>
        <v>2695409.4028190817</v>
      </c>
      <c r="G45" s="512">
        <f t="shared" si="12"/>
        <v>628766.03598640487</v>
      </c>
      <c r="H45" s="478">
        <f t="shared" si="13"/>
        <v>628766.03598640487</v>
      </c>
      <c r="I45" s="501">
        <f t="shared" si="1"/>
        <v>0</v>
      </c>
      <c r="J45" s="501"/>
      <c r="K45" s="513"/>
      <c r="L45" s="505">
        <f t="shared" si="3"/>
        <v>0</v>
      </c>
      <c r="M45" s="513"/>
      <c r="N45" s="505">
        <f t="shared" si="5"/>
        <v>0</v>
      </c>
      <c r="O45" s="505">
        <f t="shared" si="6"/>
        <v>0</v>
      </c>
      <c r="P45" s="279"/>
      <c r="R45" s="244"/>
      <c r="S45" s="244"/>
      <c r="T45" s="244"/>
      <c r="U45" s="244"/>
    </row>
    <row r="46" spans="2:21">
      <c r="B46" s="145" t="str">
        <f t="shared" si="0"/>
        <v/>
      </c>
      <c r="C46" s="496">
        <f>IF(D11="","-",+C45+1)</f>
        <v>2040</v>
      </c>
      <c r="D46" s="509">
        <f>IF(F45+SUM(E$17:E45)=D$10,F45,D$10-SUM(E$17:E45))</f>
        <v>2695409.4028190817</v>
      </c>
      <c r="E46" s="510">
        <f>IF(+I14&lt;F45,I14,D46)</f>
        <v>324653.8823529412</v>
      </c>
      <c r="F46" s="511">
        <f t="shared" si="11"/>
        <v>2370755.5204661405</v>
      </c>
      <c r="G46" s="512">
        <f t="shared" si="12"/>
        <v>594217.2954928095</v>
      </c>
      <c r="H46" s="478">
        <f t="shared" si="13"/>
        <v>594217.2954928095</v>
      </c>
      <c r="I46" s="501">
        <f t="shared" si="1"/>
        <v>0</v>
      </c>
      <c r="J46" s="501"/>
      <c r="K46" s="513"/>
      <c r="L46" s="505">
        <f t="shared" si="3"/>
        <v>0</v>
      </c>
      <c r="M46" s="513"/>
      <c r="N46" s="505">
        <f t="shared" si="5"/>
        <v>0</v>
      </c>
      <c r="O46" s="505">
        <f t="shared" si="6"/>
        <v>0</v>
      </c>
      <c r="P46" s="279"/>
      <c r="R46" s="244"/>
      <c r="S46" s="244"/>
      <c r="T46" s="244"/>
      <c r="U46" s="244"/>
    </row>
    <row r="47" spans="2:21">
      <c r="B47" s="145" t="str">
        <f t="shared" si="0"/>
        <v/>
      </c>
      <c r="C47" s="496">
        <f>IF(D11="","-",+C46+1)</f>
        <v>2041</v>
      </c>
      <c r="D47" s="509">
        <f>IF(F46+SUM(E$17:E46)=D$10,F46,D$10-SUM(E$17:E46))</f>
        <v>2370755.5204661405</v>
      </c>
      <c r="E47" s="510">
        <f>IF(+I14&lt;F46,I14,D47)</f>
        <v>324653.8823529412</v>
      </c>
      <c r="F47" s="511">
        <f t="shared" si="11"/>
        <v>2046101.6381131993</v>
      </c>
      <c r="G47" s="512">
        <f t="shared" si="12"/>
        <v>559668.55499921425</v>
      </c>
      <c r="H47" s="478">
        <f t="shared" si="13"/>
        <v>559668.55499921425</v>
      </c>
      <c r="I47" s="501">
        <f t="shared" si="1"/>
        <v>0</v>
      </c>
      <c r="J47" s="501"/>
      <c r="K47" s="513"/>
      <c r="L47" s="505">
        <f t="shared" si="3"/>
        <v>0</v>
      </c>
      <c r="M47" s="513"/>
      <c r="N47" s="505">
        <f t="shared" si="5"/>
        <v>0</v>
      </c>
      <c r="O47" s="505">
        <f t="shared" si="6"/>
        <v>0</v>
      </c>
      <c r="P47" s="279"/>
      <c r="R47" s="244"/>
      <c r="S47" s="244"/>
      <c r="T47" s="244"/>
      <c r="U47" s="244"/>
    </row>
    <row r="48" spans="2:21">
      <c r="B48" s="145" t="str">
        <f t="shared" si="0"/>
        <v/>
      </c>
      <c r="C48" s="496">
        <f>IF(D11="","-",+C47+1)</f>
        <v>2042</v>
      </c>
      <c r="D48" s="509">
        <f>IF(F47+SUM(E$17:E47)=D$10,F47,D$10-SUM(E$17:E47))</f>
        <v>2046101.6381131993</v>
      </c>
      <c r="E48" s="510">
        <f>IF(+I14&lt;F47,I14,D48)</f>
        <v>324653.8823529412</v>
      </c>
      <c r="F48" s="511">
        <f t="shared" si="11"/>
        <v>1721447.7557602581</v>
      </c>
      <c r="G48" s="512">
        <f t="shared" si="12"/>
        <v>525119.814505619</v>
      </c>
      <c r="H48" s="478">
        <f t="shared" si="13"/>
        <v>525119.814505619</v>
      </c>
      <c r="I48" s="501">
        <f t="shared" si="1"/>
        <v>0</v>
      </c>
      <c r="J48" s="501"/>
      <c r="K48" s="513"/>
      <c r="L48" s="505">
        <f t="shared" si="3"/>
        <v>0</v>
      </c>
      <c r="M48" s="513"/>
      <c r="N48" s="505">
        <f t="shared" si="5"/>
        <v>0</v>
      </c>
      <c r="O48" s="505">
        <f t="shared" si="6"/>
        <v>0</v>
      </c>
      <c r="P48" s="279"/>
      <c r="R48" s="244"/>
      <c r="S48" s="244"/>
      <c r="T48" s="244"/>
      <c r="U48" s="244"/>
    </row>
    <row r="49" spans="2:21">
      <c r="B49" s="145" t="str">
        <f t="shared" si="0"/>
        <v/>
      </c>
      <c r="C49" s="496">
        <f>IF(D11="","-",+C48+1)</f>
        <v>2043</v>
      </c>
      <c r="D49" s="509">
        <f>IF(F48+SUM(E$17:E48)=D$10,F48,D$10-SUM(E$17:E48))</f>
        <v>1721447.7557602581</v>
      </c>
      <c r="E49" s="510">
        <f>IF(+I14&lt;F48,I14,D49)</f>
        <v>324653.8823529412</v>
      </c>
      <c r="F49" s="511">
        <f t="shared" si="11"/>
        <v>1396793.8734073169</v>
      </c>
      <c r="G49" s="512">
        <f t="shared" si="12"/>
        <v>490571.07401202363</v>
      </c>
      <c r="H49" s="478">
        <f t="shared" si="13"/>
        <v>490571.07401202363</v>
      </c>
      <c r="I49" s="501">
        <f t="shared" si="1"/>
        <v>0</v>
      </c>
      <c r="J49" s="501"/>
      <c r="K49" s="513"/>
      <c r="L49" s="505">
        <f t="shared" si="3"/>
        <v>0</v>
      </c>
      <c r="M49" s="513"/>
      <c r="N49" s="505">
        <f t="shared" si="5"/>
        <v>0</v>
      </c>
      <c r="O49" s="505">
        <f t="shared" si="6"/>
        <v>0</v>
      </c>
      <c r="P49" s="279"/>
      <c r="R49" s="244"/>
      <c r="S49" s="244"/>
      <c r="T49" s="244"/>
      <c r="U49" s="244"/>
    </row>
    <row r="50" spans="2:21">
      <c r="B50" s="145" t="str">
        <f t="shared" ref="B50:B73" si="14">IF(D50=F49,"","IU")</f>
        <v/>
      </c>
      <c r="C50" s="496">
        <f>IF(D11="","-",+C49+1)</f>
        <v>2044</v>
      </c>
      <c r="D50" s="509">
        <f>IF(F49+SUM(E$17:E49)=D$10,F49,D$10-SUM(E$17:E49))</f>
        <v>1396793.8734073169</v>
      </c>
      <c r="E50" s="510">
        <f>IF(+I14&lt;F49,I14,D50)</f>
        <v>324653.8823529412</v>
      </c>
      <c r="F50" s="511">
        <f t="shared" ref="F50:F73" si="15">+D50-E50</f>
        <v>1072139.9910543757</v>
      </c>
      <c r="G50" s="512">
        <f t="shared" si="12"/>
        <v>456022.33351842838</v>
      </c>
      <c r="H50" s="478">
        <f t="shared" si="13"/>
        <v>456022.33351842838</v>
      </c>
      <c r="I50" s="501">
        <f t="shared" ref="I50:I73" si="16">H50-G50</f>
        <v>0</v>
      </c>
      <c r="J50" s="501"/>
      <c r="K50" s="513"/>
      <c r="L50" s="505">
        <f t="shared" ref="L50:L73" si="17">IF(K50&lt;&gt;0,+G50-K50,0)</f>
        <v>0</v>
      </c>
      <c r="M50" s="513"/>
      <c r="N50" s="505">
        <f t="shared" ref="N50:N73" si="18">IF(M50&lt;&gt;0,+H50-M50,0)</f>
        <v>0</v>
      </c>
      <c r="O50" s="505">
        <f t="shared" ref="O50:O73" si="19">+N50-L50</f>
        <v>0</v>
      </c>
      <c r="P50" s="279"/>
      <c r="R50" s="244"/>
      <c r="S50" s="244"/>
      <c r="T50" s="244"/>
      <c r="U50" s="244"/>
    </row>
    <row r="51" spans="2:21">
      <c r="B51" s="145" t="str">
        <f t="shared" si="14"/>
        <v/>
      </c>
      <c r="C51" s="496">
        <f>IF(D11="","-",+C50+1)</f>
        <v>2045</v>
      </c>
      <c r="D51" s="509">
        <f>IF(F50+SUM(E$17:E50)=D$10,F50,D$10-SUM(E$17:E50))</f>
        <v>1072139.9910543757</v>
      </c>
      <c r="E51" s="510">
        <f>IF(+I14&lt;F50,I14,D51)</f>
        <v>324653.8823529412</v>
      </c>
      <c r="F51" s="511">
        <f t="shared" si="15"/>
        <v>747486.10870143445</v>
      </c>
      <c r="G51" s="512">
        <f t="shared" si="12"/>
        <v>421473.59302483313</v>
      </c>
      <c r="H51" s="478">
        <f t="shared" si="13"/>
        <v>421473.59302483313</v>
      </c>
      <c r="I51" s="501">
        <f t="shared" si="16"/>
        <v>0</v>
      </c>
      <c r="J51" s="501"/>
      <c r="K51" s="513"/>
      <c r="L51" s="505">
        <f t="shared" si="17"/>
        <v>0</v>
      </c>
      <c r="M51" s="513"/>
      <c r="N51" s="505">
        <f t="shared" si="18"/>
        <v>0</v>
      </c>
      <c r="O51" s="505">
        <f t="shared" si="19"/>
        <v>0</v>
      </c>
      <c r="P51" s="279"/>
      <c r="R51" s="244"/>
      <c r="S51" s="244"/>
      <c r="T51" s="244"/>
      <c r="U51" s="244"/>
    </row>
    <row r="52" spans="2:21">
      <c r="B52" s="145" t="str">
        <f t="shared" si="14"/>
        <v/>
      </c>
      <c r="C52" s="496">
        <f>IF(D11="","-",+C51+1)</f>
        <v>2046</v>
      </c>
      <c r="D52" s="509">
        <f>IF(F51+SUM(E$17:E51)=D$10,F51,D$10-SUM(E$17:E51))</f>
        <v>747486.10870143445</v>
      </c>
      <c r="E52" s="510">
        <f>IF(+I14&lt;F51,I14,D52)</f>
        <v>324653.8823529412</v>
      </c>
      <c r="F52" s="511">
        <f t="shared" si="15"/>
        <v>422832.22634849325</v>
      </c>
      <c r="G52" s="512">
        <f t="shared" si="12"/>
        <v>386924.85253123782</v>
      </c>
      <c r="H52" s="478">
        <f t="shared" si="13"/>
        <v>386924.85253123782</v>
      </c>
      <c r="I52" s="501">
        <f t="shared" si="16"/>
        <v>0</v>
      </c>
      <c r="J52" s="501"/>
      <c r="K52" s="513"/>
      <c r="L52" s="505">
        <f t="shared" si="17"/>
        <v>0</v>
      </c>
      <c r="M52" s="513"/>
      <c r="N52" s="505">
        <f t="shared" si="18"/>
        <v>0</v>
      </c>
      <c r="O52" s="505">
        <f t="shared" si="19"/>
        <v>0</v>
      </c>
      <c r="P52" s="279"/>
      <c r="R52" s="244"/>
      <c r="S52" s="244"/>
      <c r="T52" s="244"/>
      <c r="U52" s="244"/>
    </row>
    <row r="53" spans="2:21">
      <c r="B53" s="145" t="str">
        <f t="shared" si="14"/>
        <v/>
      </c>
      <c r="C53" s="496">
        <f>IF(D11="","-",+C52+1)</f>
        <v>2047</v>
      </c>
      <c r="D53" s="509">
        <f>IF(F52+SUM(E$17:E52)=D$10,F52,D$10-SUM(E$17:E52))</f>
        <v>422832.22634849325</v>
      </c>
      <c r="E53" s="510">
        <f>IF(+I14&lt;F52,I14,D53)</f>
        <v>324653.8823529412</v>
      </c>
      <c r="F53" s="511">
        <f t="shared" si="15"/>
        <v>98178.343995552044</v>
      </c>
      <c r="G53" s="512">
        <f t="shared" si="12"/>
        <v>352376.11203764257</v>
      </c>
      <c r="H53" s="478">
        <f t="shared" si="13"/>
        <v>352376.11203764257</v>
      </c>
      <c r="I53" s="501">
        <f t="shared" si="16"/>
        <v>0</v>
      </c>
      <c r="J53" s="501"/>
      <c r="K53" s="513"/>
      <c r="L53" s="505">
        <f t="shared" si="17"/>
        <v>0</v>
      </c>
      <c r="M53" s="513"/>
      <c r="N53" s="505">
        <f t="shared" si="18"/>
        <v>0</v>
      </c>
      <c r="O53" s="505">
        <f t="shared" si="19"/>
        <v>0</v>
      </c>
      <c r="P53" s="279"/>
      <c r="R53" s="244"/>
      <c r="S53" s="244"/>
      <c r="T53" s="244"/>
      <c r="U53" s="244"/>
    </row>
    <row r="54" spans="2:21">
      <c r="B54" s="145" t="str">
        <f t="shared" si="14"/>
        <v/>
      </c>
      <c r="C54" s="496">
        <f>IF(D11="","-",+C53+1)</f>
        <v>2048</v>
      </c>
      <c r="D54" s="509">
        <f>IF(F53+SUM(E$17:E53)=D$10,F53,D$10-SUM(E$17:E53))</f>
        <v>98178.343995552044</v>
      </c>
      <c r="E54" s="510">
        <f>IF(+I14&lt;F53,I14,D54)</f>
        <v>98178.343995552044</v>
      </c>
      <c r="F54" s="511">
        <f t="shared" si="15"/>
        <v>0</v>
      </c>
      <c r="G54" s="512">
        <f t="shared" si="12"/>
        <v>103402.2737145039</v>
      </c>
      <c r="H54" s="478">
        <f t="shared" si="13"/>
        <v>103402.2737145039</v>
      </c>
      <c r="I54" s="501">
        <f t="shared" si="16"/>
        <v>0</v>
      </c>
      <c r="J54" s="501"/>
      <c r="K54" s="513"/>
      <c r="L54" s="505">
        <f t="shared" si="17"/>
        <v>0</v>
      </c>
      <c r="M54" s="513"/>
      <c r="N54" s="505">
        <f t="shared" si="18"/>
        <v>0</v>
      </c>
      <c r="O54" s="505">
        <f t="shared" si="19"/>
        <v>0</v>
      </c>
      <c r="P54" s="279"/>
      <c r="R54" s="244"/>
      <c r="S54" s="244"/>
      <c r="T54" s="244"/>
      <c r="U54" s="244"/>
    </row>
    <row r="55" spans="2:21">
      <c r="B55" s="145" t="str">
        <f t="shared" si="14"/>
        <v/>
      </c>
      <c r="C55" s="496">
        <f>IF(D11="","-",+C54+1)</f>
        <v>2049</v>
      </c>
      <c r="D55" s="509">
        <f>IF(F54+SUM(E$17:E54)=D$10,F54,D$10-SUM(E$17:E54))</f>
        <v>0</v>
      </c>
      <c r="E55" s="510">
        <f>IF(+I14&lt;F54,I14,D55)</f>
        <v>0</v>
      </c>
      <c r="F55" s="511">
        <f t="shared" si="15"/>
        <v>0</v>
      </c>
      <c r="G55" s="512">
        <f t="shared" si="12"/>
        <v>0</v>
      </c>
      <c r="H55" s="478">
        <f t="shared" si="13"/>
        <v>0</v>
      </c>
      <c r="I55" s="501">
        <f t="shared" si="16"/>
        <v>0</v>
      </c>
      <c r="J55" s="501"/>
      <c r="K55" s="513"/>
      <c r="L55" s="505">
        <f t="shared" si="17"/>
        <v>0</v>
      </c>
      <c r="M55" s="513"/>
      <c r="N55" s="505">
        <f t="shared" si="18"/>
        <v>0</v>
      </c>
      <c r="O55" s="505">
        <f t="shared" si="19"/>
        <v>0</v>
      </c>
      <c r="P55" s="279"/>
      <c r="R55" s="244"/>
      <c r="S55" s="244"/>
      <c r="T55" s="244"/>
      <c r="U55" s="244"/>
    </row>
    <row r="56" spans="2:21">
      <c r="B56" s="145" t="str">
        <f t="shared" si="14"/>
        <v/>
      </c>
      <c r="C56" s="496">
        <f>IF(D11="","-",+C55+1)</f>
        <v>2050</v>
      </c>
      <c r="D56" s="509">
        <f>IF(F55+SUM(E$17:E55)=D$10,F55,D$10-SUM(E$17:E55))</f>
        <v>0</v>
      </c>
      <c r="E56" s="510">
        <f>IF(+I14&lt;F55,I14,D56)</f>
        <v>0</v>
      </c>
      <c r="F56" s="511">
        <f t="shared" si="15"/>
        <v>0</v>
      </c>
      <c r="G56" s="512">
        <f t="shared" si="12"/>
        <v>0</v>
      </c>
      <c r="H56" s="478">
        <f t="shared" si="13"/>
        <v>0</v>
      </c>
      <c r="I56" s="501">
        <f t="shared" si="16"/>
        <v>0</v>
      </c>
      <c r="J56" s="501"/>
      <c r="K56" s="513"/>
      <c r="L56" s="505">
        <f t="shared" si="17"/>
        <v>0</v>
      </c>
      <c r="M56" s="513"/>
      <c r="N56" s="505">
        <f t="shared" si="18"/>
        <v>0</v>
      </c>
      <c r="O56" s="505">
        <f t="shared" si="19"/>
        <v>0</v>
      </c>
      <c r="P56" s="279"/>
      <c r="R56" s="244"/>
      <c r="S56" s="244"/>
      <c r="T56" s="244"/>
      <c r="U56" s="244"/>
    </row>
    <row r="57" spans="2:21">
      <c r="B57" s="145" t="str">
        <f t="shared" si="14"/>
        <v/>
      </c>
      <c r="C57" s="496">
        <f>IF(D11="","-",+C56+1)</f>
        <v>2051</v>
      </c>
      <c r="D57" s="509">
        <f>IF(F56+SUM(E$17:E56)=D$10,F56,D$10-SUM(E$17:E56))</f>
        <v>0</v>
      </c>
      <c r="E57" s="510">
        <f>IF(+I14&lt;F56,I14,D57)</f>
        <v>0</v>
      </c>
      <c r="F57" s="511">
        <f t="shared" si="15"/>
        <v>0</v>
      </c>
      <c r="G57" s="512">
        <f t="shared" si="12"/>
        <v>0</v>
      </c>
      <c r="H57" s="478">
        <f t="shared" si="13"/>
        <v>0</v>
      </c>
      <c r="I57" s="501">
        <f t="shared" si="16"/>
        <v>0</v>
      </c>
      <c r="J57" s="501"/>
      <c r="K57" s="513"/>
      <c r="L57" s="505">
        <f t="shared" si="17"/>
        <v>0</v>
      </c>
      <c r="M57" s="513"/>
      <c r="N57" s="505">
        <f t="shared" si="18"/>
        <v>0</v>
      </c>
      <c r="O57" s="505">
        <f t="shared" si="19"/>
        <v>0</v>
      </c>
      <c r="P57" s="279"/>
      <c r="R57" s="244"/>
      <c r="S57" s="244"/>
      <c r="T57" s="244"/>
      <c r="U57" s="244"/>
    </row>
    <row r="58" spans="2:21">
      <c r="B58" s="145" t="str">
        <f t="shared" si="14"/>
        <v/>
      </c>
      <c r="C58" s="496">
        <f>IF(D11="","-",+C57+1)</f>
        <v>2052</v>
      </c>
      <c r="D58" s="509">
        <f>IF(F57+SUM(E$17:E57)=D$10,F57,D$10-SUM(E$17:E57))</f>
        <v>0</v>
      </c>
      <c r="E58" s="510">
        <f>IF(+I14&lt;F57,I14,D58)</f>
        <v>0</v>
      </c>
      <c r="F58" s="511">
        <f t="shared" si="15"/>
        <v>0</v>
      </c>
      <c r="G58" s="512">
        <f t="shared" si="12"/>
        <v>0</v>
      </c>
      <c r="H58" s="478">
        <f t="shared" si="13"/>
        <v>0</v>
      </c>
      <c r="I58" s="501">
        <f t="shared" si="16"/>
        <v>0</v>
      </c>
      <c r="J58" s="501"/>
      <c r="K58" s="513"/>
      <c r="L58" s="505">
        <f t="shared" si="17"/>
        <v>0</v>
      </c>
      <c r="M58" s="513"/>
      <c r="N58" s="505">
        <f t="shared" si="18"/>
        <v>0</v>
      </c>
      <c r="O58" s="505">
        <f t="shared" si="19"/>
        <v>0</v>
      </c>
      <c r="P58" s="279"/>
      <c r="R58" s="244"/>
      <c r="S58" s="244"/>
      <c r="T58" s="244"/>
      <c r="U58" s="244"/>
    </row>
    <row r="59" spans="2:21">
      <c r="B59" s="145" t="str">
        <f t="shared" si="14"/>
        <v/>
      </c>
      <c r="C59" s="496">
        <f>IF(D11="","-",+C58+1)</f>
        <v>2053</v>
      </c>
      <c r="D59" s="509">
        <f>IF(F58+SUM(E$17:E58)=D$10,F58,D$10-SUM(E$17:E58))</f>
        <v>0</v>
      </c>
      <c r="E59" s="510">
        <f>IF(+I14&lt;F58,I14,D59)</f>
        <v>0</v>
      </c>
      <c r="F59" s="511">
        <f t="shared" si="15"/>
        <v>0</v>
      </c>
      <c r="G59" s="512">
        <f t="shared" si="12"/>
        <v>0</v>
      </c>
      <c r="H59" s="478">
        <f t="shared" si="13"/>
        <v>0</v>
      </c>
      <c r="I59" s="501">
        <f t="shared" si="16"/>
        <v>0</v>
      </c>
      <c r="J59" s="501"/>
      <c r="K59" s="513"/>
      <c r="L59" s="505">
        <f t="shared" si="17"/>
        <v>0</v>
      </c>
      <c r="M59" s="513"/>
      <c r="N59" s="505">
        <f t="shared" si="18"/>
        <v>0</v>
      </c>
      <c r="O59" s="505">
        <f t="shared" si="19"/>
        <v>0</v>
      </c>
      <c r="P59" s="279"/>
      <c r="R59" s="244"/>
      <c r="S59" s="244"/>
      <c r="T59" s="244"/>
      <c r="U59" s="244"/>
    </row>
    <row r="60" spans="2:21">
      <c r="B60" s="145" t="str">
        <f t="shared" si="14"/>
        <v/>
      </c>
      <c r="C60" s="496">
        <f>IF(D11="","-",+C59+1)</f>
        <v>2054</v>
      </c>
      <c r="D60" s="509">
        <f>IF(F59+SUM(E$17:E59)=D$10,F59,D$10-SUM(E$17:E59))</f>
        <v>0</v>
      </c>
      <c r="E60" s="510">
        <f>IF(+I14&lt;F59,I14,D60)</f>
        <v>0</v>
      </c>
      <c r="F60" s="511">
        <f t="shared" si="15"/>
        <v>0</v>
      </c>
      <c r="G60" s="512">
        <f t="shared" si="12"/>
        <v>0</v>
      </c>
      <c r="H60" s="478">
        <f t="shared" si="13"/>
        <v>0</v>
      </c>
      <c r="I60" s="501">
        <f t="shared" si="16"/>
        <v>0</v>
      </c>
      <c r="J60" s="501"/>
      <c r="K60" s="513"/>
      <c r="L60" s="505">
        <f t="shared" si="17"/>
        <v>0</v>
      </c>
      <c r="M60" s="513"/>
      <c r="N60" s="505">
        <f t="shared" si="18"/>
        <v>0</v>
      </c>
      <c r="O60" s="505">
        <f t="shared" si="19"/>
        <v>0</v>
      </c>
      <c r="P60" s="279"/>
      <c r="R60" s="244"/>
      <c r="S60" s="244"/>
      <c r="T60" s="244"/>
      <c r="U60" s="244"/>
    </row>
    <row r="61" spans="2:21">
      <c r="B61" s="145" t="str">
        <f t="shared" si="14"/>
        <v/>
      </c>
      <c r="C61" s="496">
        <f>IF(D11="","-",+C60+1)</f>
        <v>2055</v>
      </c>
      <c r="D61" s="509">
        <f>IF(F60+SUM(E$17:E60)=D$10,F60,D$10-SUM(E$17:E60))</f>
        <v>0</v>
      </c>
      <c r="E61" s="510">
        <f>IF(+I14&lt;F60,I14,D61)</f>
        <v>0</v>
      </c>
      <c r="F61" s="511">
        <f t="shared" si="15"/>
        <v>0</v>
      </c>
      <c r="G61" s="512">
        <f t="shared" si="12"/>
        <v>0</v>
      </c>
      <c r="H61" s="478">
        <f t="shared" si="13"/>
        <v>0</v>
      </c>
      <c r="I61" s="501">
        <f t="shared" si="16"/>
        <v>0</v>
      </c>
      <c r="J61" s="501"/>
      <c r="K61" s="513"/>
      <c r="L61" s="505">
        <f t="shared" si="17"/>
        <v>0</v>
      </c>
      <c r="M61" s="513"/>
      <c r="N61" s="505">
        <f t="shared" si="18"/>
        <v>0</v>
      </c>
      <c r="O61" s="505">
        <f t="shared" si="19"/>
        <v>0</v>
      </c>
      <c r="P61" s="279"/>
      <c r="R61" s="244"/>
      <c r="S61" s="244"/>
      <c r="T61" s="244"/>
      <c r="U61" s="244"/>
    </row>
    <row r="62" spans="2:21">
      <c r="B62" s="145" t="str">
        <f t="shared" si="14"/>
        <v/>
      </c>
      <c r="C62" s="496">
        <f>IF(D11="","-",+C61+1)</f>
        <v>2056</v>
      </c>
      <c r="D62" s="509">
        <f>IF(F61+SUM(E$17:E61)=D$10,F61,D$10-SUM(E$17:E61))</f>
        <v>0</v>
      </c>
      <c r="E62" s="510">
        <f>IF(+I14&lt;F61,I14,D62)</f>
        <v>0</v>
      </c>
      <c r="F62" s="511">
        <f t="shared" si="15"/>
        <v>0</v>
      </c>
      <c r="G62" s="524">
        <f t="shared" si="12"/>
        <v>0</v>
      </c>
      <c r="H62" s="478">
        <f t="shared" si="13"/>
        <v>0</v>
      </c>
      <c r="I62" s="501">
        <f t="shared" si="16"/>
        <v>0</v>
      </c>
      <c r="J62" s="501"/>
      <c r="K62" s="513"/>
      <c r="L62" s="505">
        <f t="shared" si="17"/>
        <v>0</v>
      </c>
      <c r="M62" s="513"/>
      <c r="N62" s="505">
        <f t="shared" si="18"/>
        <v>0</v>
      </c>
      <c r="O62" s="505">
        <f t="shared" si="19"/>
        <v>0</v>
      </c>
      <c r="P62" s="279"/>
      <c r="R62" s="244"/>
      <c r="S62" s="244"/>
      <c r="T62" s="244"/>
      <c r="U62" s="244"/>
    </row>
    <row r="63" spans="2:21">
      <c r="B63" s="145" t="str">
        <f t="shared" si="14"/>
        <v/>
      </c>
      <c r="C63" s="496">
        <f>IF(D11="","-",+C62+1)</f>
        <v>2057</v>
      </c>
      <c r="D63" s="509">
        <f>IF(F62+SUM(E$17:E62)=D$10,F62,D$10-SUM(E$17:E62))</f>
        <v>0</v>
      </c>
      <c r="E63" s="510">
        <f>IF(+I14&lt;F62,I14,D63)</f>
        <v>0</v>
      </c>
      <c r="F63" s="511">
        <f t="shared" si="15"/>
        <v>0</v>
      </c>
      <c r="G63" s="524">
        <f t="shared" si="12"/>
        <v>0</v>
      </c>
      <c r="H63" s="478">
        <f t="shared" si="13"/>
        <v>0</v>
      </c>
      <c r="I63" s="501">
        <f t="shared" si="16"/>
        <v>0</v>
      </c>
      <c r="J63" s="501"/>
      <c r="K63" s="513"/>
      <c r="L63" s="505">
        <f t="shared" si="17"/>
        <v>0</v>
      </c>
      <c r="M63" s="513"/>
      <c r="N63" s="505">
        <f t="shared" si="18"/>
        <v>0</v>
      </c>
      <c r="O63" s="505">
        <f t="shared" si="19"/>
        <v>0</v>
      </c>
      <c r="P63" s="279"/>
      <c r="R63" s="244"/>
      <c r="S63" s="244"/>
      <c r="T63" s="244"/>
      <c r="U63" s="244"/>
    </row>
    <row r="64" spans="2:21">
      <c r="B64" s="145" t="str">
        <f t="shared" si="14"/>
        <v/>
      </c>
      <c r="C64" s="496">
        <f>IF(D11="","-",+C63+1)</f>
        <v>2058</v>
      </c>
      <c r="D64" s="509">
        <f>IF(F63+SUM(E$17:E63)=D$10,F63,D$10-SUM(E$17:E63))</f>
        <v>0</v>
      </c>
      <c r="E64" s="510">
        <f>IF(+I14&lt;F63,I14,D64)</f>
        <v>0</v>
      </c>
      <c r="F64" s="511">
        <f t="shared" si="15"/>
        <v>0</v>
      </c>
      <c r="G64" s="524">
        <f t="shared" si="12"/>
        <v>0</v>
      </c>
      <c r="H64" s="478">
        <f t="shared" si="13"/>
        <v>0</v>
      </c>
      <c r="I64" s="501">
        <f t="shared" si="16"/>
        <v>0</v>
      </c>
      <c r="J64" s="501"/>
      <c r="K64" s="513"/>
      <c r="L64" s="505">
        <f t="shared" si="17"/>
        <v>0</v>
      </c>
      <c r="M64" s="513"/>
      <c r="N64" s="505">
        <f t="shared" si="18"/>
        <v>0</v>
      </c>
      <c r="O64" s="505">
        <f t="shared" si="19"/>
        <v>0</v>
      </c>
      <c r="P64" s="279"/>
      <c r="R64" s="244"/>
      <c r="S64" s="244"/>
      <c r="T64" s="244"/>
      <c r="U64" s="244"/>
    </row>
    <row r="65" spans="2:21">
      <c r="B65" s="145" t="str">
        <f t="shared" si="14"/>
        <v/>
      </c>
      <c r="C65" s="496">
        <f>IF(D11="","-",+C64+1)</f>
        <v>2059</v>
      </c>
      <c r="D65" s="509">
        <f>IF(F64+SUM(E$17:E64)=D$10,F64,D$10-SUM(E$17:E64))</f>
        <v>0</v>
      </c>
      <c r="E65" s="510">
        <f>IF(+I14&lt;F64,I14,D65)</f>
        <v>0</v>
      </c>
      <c r="F65" s="511">
        <f t="shared" si="15"/>
        <v>0</v>
      </c>
      <c r="G65" s="524">
        <f t="shared" si="12"/>
        <v>0</v>
      </c>
      <c r="H65" s="478">
        <f t="shared" si="13"/>
        <v>0</v>
      </c>
      <c r="I65" s="501">
        <f t="shared" si="16"/>
        <v>0</v>
      </c>
      <c r="J65" s="501"/>
      <c r="K65" s="513"/>
      <c r="L65" s="505">
        <f t="shared" si="17"/>
        <v>0</v>
      </c>
      <c r="M65" s="513"/>
      <c r="N65" s="505">
        <f t="shared" si="18"/>
        <v>0</v>
      </c>
      <c r="O65" s="505">
        <f t="shared" si="19"/>
        <v>0</v>
      </c>
      <c r="P65" s="279"/>
      <c r="R65" s="244"/>
      <c r="S65" s="244"/>
      <c r="T65" s="244"/>
      <c r="U65" s="244"/>
    </row>
    <row r="66" spans="2:21">
      <c r="B66" s="145" t="str">
        <f t="shared" si="14"/>
        <v/>
      </c>
      <c r="C66" s="496">
        <f>IF(D11="","-",+C65+1)</f>
        <v>2060</v>
      </c>
      <c r="D66" s="509">
        <f>IF(F65+SUM(E$17:E65)=D$10,F65,D$10-SUM(E$17:E65))</f>
        <v>0</v>
      </c>
      <c r="E66" s="510">
        <f>IF(+I14&lt;F65,I14,D66)</f>
        <v>0</v>
      </c>
      <c r="F66" s="511">
        <f t="shared" si="15"/>
        <v>0</v>
      </c>
      <c r="G66" s="524">
        <f t="shared" si="12"/>
        <v>0</v>
      </c>
      <c r="H66" s="478">
        <f t="shared" si="13"/>
        <v>0</v>
      </c>
      <c r="I66" s="501">
        <f t="shared" si="16"/>
        <v>0</v>
      </c>
      <c r="J66" s="501"/>
      <c r="K66" s="513"/>
      <c r="L66" s="505">
        <f t="shared" si="17"/>
        <v>0</v>
      </c>
      <c r="M66" s="513"/>
      <c r="N66" s="505">
        <f t="shared" si="18"/>
        <v>0</v>
      </c>
      <c r="O66" s="505">
        <f t="shared" si="19"/>
        <v>0</v>
      </c>
      <c r="P66" s="279"/>
      <c r="R66" s="244"/>
      <c r="S66" s="244"/>
      <c r="T66" s="244"/>
      <c r="U66" s="244"/>
    </row>
    <row r="67" spans="2:21">
      <c r="B67" s="145" t="str">
        <f t="shared" si="14"/>
        <v/>
      </c>
      <c r="C67" s="496">
        <f>IF(D11="","-",+C66+1)</f>
        <v>2061</v>
      </c>
      <c r="D67" s="509">
        <f>IF(F66+SUM(E$17:E66)=D$10,F66,D$10-SUM(E$17:E66))</f>
        <v>0</v>
      </c>
      <c r="E67" s="510">
        <f>IF(+I14&lt;F66,I14,D67)</f>
        <v>0</v>
      </c>
      <c r="F67" s="511">
        <f t="shared" si="15"/>
        <v>0</v>
      </c>
      <c r="G67" s="524">
        <f t="shared" si="12"/>
        <v>0</v>
      </c>
      <c r="H67" s="478">
        <f t="shared" si="13"/>
        <v>0</v>
      </c>
      <c r="I67" s="501">
        <f t="shared" si="16"/>
        <v>0</v>
      </c>
      <c r="J67" s="501"/>
      <c r="K67" s="513"/>
      <c r="L67" s="505">
        <f t="shared" si="17"/>
        <v>0</v>
      </c>
      <c r="M67" s="513"/>
      <c r="N67" s="505">
        <f t="shared" si="18"/>
        <v>0</v>
      </c>
      <c r="O67" s="505">
        <f t="shared" si="19"/>
        <v>0</v>
      </c>
      <c r="P67" s="279"/>
      <c r="R67" s="244"/>
      <c r="S67" s="244"/>
      <c r="T67" s="244"/>
      <c r="U67" s="244"/>
    </row>
    <row r="68" spans="2:21">
      <c r="B68" s="145" t="str">
        <f t="shared" si="14"/>
        <v/>
      </c>
      <c r="C68" s="496">
        <f>IF(D11="","-",+C67+1)</f>
        <v>2062</v>
      </c>
      <c r="D68" s="509">
        <f>IF(F67+SUM(E$17:E67)=D$10,F67,D$10-SUM(E$17:E67))</f>
        <v>0</v>
      </c>
      <c r="E68" s="510">
        <f>IF(+I14&lt;F67,I14,D68)</f>
        <v>0</v>
      </c>
      <c r="F68" s="511">
        <f t="shared" si="15"/>
        <v>0</v>
      </c>
      <c r="G68" s="524">
        <f t="shared" si="12"/>
        <v>0</v>
      </c>
      <c r="H68" s="478">
        <f t="shared" si="13"/>
        <v>0</v>
      </c>
      <c r="I68" s="501">
        <f t="shared" si="16"/>
        <v>0</v>
      </c>
      <c r="J68" s="501"/>
      <c r="K68" s="513"/>
      <c r="L68" s="505">
        <f t="shared" si="17"/>
        <v>0</v>
      </c>
      <c r="M68" s="513"/>
      <c r="N68" s="505">
        <f t="shared" si="18"/>
        <v>0</v>
      </c>
      <c r="O68" s="505">
        <f t="shared" si="19"/>
        <v>0</v>
      </c>
      <c r="P68" s="279"/>
      <c r="R68" s="244"/>
      <c r="S68" s="244"/>
      <c r="T68" s="244"/>
      <c r="U68" s="244"/>
    </row>
    <row r="69" spans="2:21">
      <c r="B69" s="145" t="str">
        <f t="shared" si="14"/>
        <v/>
      </c>
      <c r="C69" s="496">
        <f>IF(D11="","-",+C68+1)</f>
        <v>2063</v>
      </c>
      <c r="D69" s="509">
        <f>IF(F68+SUM(E$17:E68)=D$10,F68,D$10-SUM(E$17:E68))</f>
        <v>0</v>
      </c>
      <c r="E69" s="510">
        <f>IF(+I14&lt;F68,I14,D69)</f>
        <v>0</v>
      </c>
      <c r="F69" s="511">
        <f t="shared" si="15"/>
        <v>0</v>
      </c>
      <c r="G69" s="524">
        <f t="shared" si="12"/>
        <v>0</v>
      </c>
      <c r="H69" s="478">
        <f t="shared" si="13"/>
        <v>0</v>
      </c>
      <c r="I69" s="501">
        <f t="shared" si="16"/>
        <v>0</v>
      </c>
      <c r="J69" s="501"/>
      <c r="K69" s="513"/>
      <c r="L69" s="505">
        <f t="shared" si="17"/>
        <v>0</v>
      </c>
      <c r="M69" s="513"/>
      <c r="N69" s="505">
        <f t="shared" si="18"/>
        <v>0</v>
      </c>
      <c r="O69" s="505">
        <f t="shared" si="19"/>
        <v>0</v>
      </c>
      <c r="P69" s="279"/>
      <c r="R69" s="244"/>
      <c r="S69" s="244"/>
      <c r="T69" s="244"/>
      <c r="U69" s="244"/>
    </row>
    <row r="70" spans="2:21">
      <c r="B70" s="145" t="str">
        <f t="shared" si="14"/>
        <v/>
      </c>
      <c r="C70" s="496">
        <f>IF(D11="","-",+C69+1)</f>
        <v>2064</v>
      </c>
      <c r="D70" s="509">
        <f>IF(F69+SUM(E$17:E69)=D$10,F69,D$10-SUM(E$17:E69))</f>
        <v>0</v>
      </c>
      <c r="E70" s="510">
        <f>IF(+I14&lt;F69,I14,D70)</f>
        <v>0</v>
      </c>
      <c r="F70" s="511">
        <f t="shared" si="15"/>
        <v>0</v>
      </c>
      <c r="G70" s="524">
        <f t="shared" si="12"/>
        <v>0</v>
      </c>
      <c r="H70" s="478">
        <f t="shared" si="13"/>
        <v>0</v>
      </c>
      <c r="I70" s="501">
        <f t="shared" si="16"/>
        <v>0</v>
      </c>
      <c r="J70" s="501"/>
      <c r="K70" s="513"/>
      <c r="L70" s="505">
        <f t="shared" si="17"/>
        <v>0</v>
      </c>
      <c r="M70" s="513"/>
      <c r="N70" s="505">
        <f t="shared" si="18"/>
        <v>0</v>
      </c>
      <c r="O70" s="505">
        <f t="shared" si="19"/>
        <v>0</v>
      </c>
      <c r="P70" s="279"/>
      <c r="R70" s="244"/>
      <c r="S70" s="244"/>
      <c r="T70" s="244"/>
      <c r="U70" s="244"/>
    </row>
    <row r="71" spans="2:21">
      <c r="B71" s="145" t="str">
        <f t="shared" si="14"/>
        <v/>
      </c>
      <c r="C71" s="496">
        <f>IF(D11="","-",+C70+1)</f>
        <v>2065</v>
      </c>
      <c r="D71" s="509">
        <f>IF(F70+SUM(E$17:E70)=D$10,F70,D$10-SUM(E$17:E70))</f>
        <v>0</v>
      </c>
      <c r="E71" s="510">
        <f>IF(+I14&lt;F70,I14,D71)</f>
        <v>0</v>
      </c>
      <c r="F71" s="511">
        <f t="shared" si="15"/>
        <v>0</v>
      </c>
      <c r="G71" s="524">
        <f t="shared" si="12"/>
        <v>0</v>
      </c>
      <c r="H71" s="478">
        <f t="shared" si="13"/>
        <v>0</v>
      </c>
      <c r="I71" s="501">
        <f t="shared" si="16"/>
        <v>0</v>
      </c>
      <c r="J71" s="501"/>
      <c r="K71" s="513"/>
      <c r="L71" s="505">
        <f t="shared" si="17"/>
        <v>0</v>
      </c>
      <c r="M71" s="513"/>
      <c r="N71" s="505">
        <f t="shared" si="18"/>
        <v>0</v>
      </c>
      <c r="O71" s="505">
        <f t="shared" si="19"/>
        <v>0</v>
      </c>
      <c r="P71" s="279"/>
      <c r="R71" s="244"/>
      <c r="S71" s="244"/>
      <c r="T71" s="244"/>
      <c r="U71" s="244"/>
    </row>
    <row r="72" spans="2:21">
      <c r="B72" s="145" t="str">
        <f t="shared" si="14"/>
        <v/>
      </c>
      <c r="C72" s="496">
        <f>IF(D11="","-",+C71+1)</f>
        <v>2066</v>
      </c>
      <c r="D72" s="509">
        <f>IF(F71+SUM(E$17:E71)=D$10,F71,D$10-SUM(E$17:E71))</f>
        <v>0</v>
      </c>
      <c r="E72" s="510">
        <f>IF(+I14&lt;F71,I14,D72)</f>
        <v>0</v>
      </c>
      <c r="F72" s="511">
        <f t="shared" si="15"/>
        <v>0</v>
      </c>
      <c r="G72" s="524">
        <f t="shared" si="12"/>
        <v>0</v>
      </c>
      <c r="H72" s="478">
        <f t="shared" si="13"/>
        <v>0</v>
      </c>
      <c r="I72" s="501">
        <f t="shared" si="16"/>
        <v>0</v>
      </c>
      <c r="J72" s="501"/>
      <c r="K72" s="513"/>
      <c r="L72" s="505">
        <f t="shared" si="17"/>
        <v>0</v>
      </c>
      <c r="M72" s="513"/>
      <c r="N72" s="505">
        <f t="shared" si="18"/>
        <v>0</v>
      </c>
      <c r="O72" s="505">
        <f t="shared" si="19"/>
        <v>0</v>
      </c>
      <c r="P72" s="279"/>
      <c r="R72" s="244"/>
      <c r="S72" s="244"/>
      <c r="T72" s="244"/>
      <c r="U72" s="244"/>
    </row>
    <row r="73" spans="2:21" ht="13.5" thickBot="1">
      <c r="B73" s="145" t="str">
        <f t="shared" si="14"/>
        <v/>
      </c>
      <c r="C73" s="525">
        <f>IF(D11="","-",+C72+1)</f>
        <v>2067</v>
      </c>
      <c r="D73" s="526">
        <f>IF(F72+SUM(E$17:E72)=D$10,F72,D$10-SUM(E$17:E72))</f>
        <v>0</v>
      </c>
      <c r="E73" s="527">
        <f>IF(+I14&lt;F72,I14,D73)</f>
        <v>0</v>
      </c>
      <c r="F73" s="528">
        <f t="shared" si="15"/>
        <v>0</v>
      </c>
      <c r="G73" s="529">
        <f t="shared" si="12"/>
        <v>0</v>
      </c>
      <c r="H73" s="459">
        <f t="shared" si="13"/>
        <v>0</v>
      </c>
      <c r="I73" s="530">
        <f t="shared" si="16"/>
        <v>0</v>
      </c>
      <c r="J73" s="501"/>
      <c r="K73" s="531"/>
      <c r="L73" s="532">
        <f t="shared" si="17"/>
        <v>0</v>
      </c>
      <c r="M73" s="531"/>
      <c r="N73" s="532">
        <f t="shared" si="18"/>
        <v>0</v>
      </c>
      <c r="O73" s="532">
        <f t="shared" si="19"/>
        <v>0</v>
      </c>
      <c r="P73" s="279"/>
      <c r="R73" s="244"/>
      <c r="S73" s="244"/>
      <c r="T73" s="244"/>
      <c r="U73" s="244"/>
    </row>
    <row r="74" spans="2:21">
      <c r="C74" s="350" t="s">
        <v>75</v>
      </c>
      <c r="D74" s="295"/>
      <c r="E74" s="295">
        <f>SUM(E17:E73)</f>
        <v>11038231.999999996</v>
      </c>
      <c r="F74" s="295"/>
      <c r="G74" s="295">
        <f>SUM(G17:G73)</f>
        <v>35749045.520532459</v>
      </c>
      <c r="H74" s="295">
        <f>SUM(H17:H73)</f>
        <v>35749045.520532459</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4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1293013.3264763721</v>
      </c>
      <c r="N88" s="545">
        <f>IF(J93&lt;D11,0,VLOOKUP(J93,C17:O73,11))</f>
        <v>1293013.3264763721</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1429889.3945469856</v>
      </c>
      <c r="N89" s="549">
        <f>IF(J93&lt;D11,0,VLOOKUP(J93,C100:P155,7))</f>
        <v>1429889.3945469856</v>
      </c>
      <c r="O89" s="550">
        <f>+N89-M89</f>
        <v>0</v>
      </c>
      <c r="P89" s="244"/>
      <c r="Q89" s="244"/>
      <c r="R89" s="244"/>
      <c r="S89" s="244"/>
      <c r="T89" s="244"/>
      <c r="U89" s="244"/>
    </row>
    <row r="90" spans="1:21" ht="13.5" thickBot="1">
      <c r="C90" s="455" t="s">
        <v>82</v>
      </c>
      <c r="D90" s="551" t="str">
        <f>+D7</f>
        <v xml:space="preserve">Bartlesville SE to Coffeyville T Rebuild </v>
      </c>
      <c r="E90" s="244"/>
      <c r="F90" s="244"/>
      <c r="G90" s="244"/>
      <c r="H90" s="244"/>
      <c r="I90" s="326"/>
      <c r="J90" s="326"/>
      <c r="K90" s="552"/>
      <c r="L90" s="553" t="s">
        <v>135</v>
      </c>
      <c r="M90" s="554">
        <f>+M89-M88</f>
        <v>136876.06807061355</v>
      </c>
      <c r="N90" s="554">
        <f>+N89-N88</f>
        <v>136876.06807061355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TP2008079</v>
      </c>
      <c r="E92" s="559"/>
      <c r="F92" s="559"/>
      <c r="G92" s="559"/>
      <c r="H92" s="559"/>
      <c r="I92" s="559"/>
      <c r="J92" s="559"/>
      <c r="K92" s="561"/>
      <c r="P92" s="469"/>
      <c r="Q92" s="244"/>
      <c r="R92" s="244"/>
      <c r="S92" s="244"/>
      <c r="T92" s="244"/>
      <c r="U92" s="244"/>
    </row>
    <row r="93" spans="1:21">
      <c r="C93" s="473" t="s">
        <v>49</v>
      </c>
      <c r="D93" s="599">
        <f>D10</f>
        <v>11038232</v>
      </c>
      <c r="E93" s="249" t="s">
        <v>84</v>
      </c>
      <c r="H93" s="409"/>
      <c r="I93" s="409"/>
      <c r="J93" s="472">
        <f>+'OKT.WS.G.BPU.ATRR.True-up'!M16</f>
        <v>2021</v>
      </c>
      <c r="K93" s="468"/>
      <c r="L93" s="295" t="s">
        <v>85</v>
      </c>
      <c r="P93" s="279"/>
      <c r="Q93" s="244"/>
      <c r="R93" s="244"/>
      <c r="S93" s="244"/>
      <c r="T93" s="244"/>
      <c r="U93" s="244"/>
    </row>
    <row r="94" spans="1:21">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IF(D11=I10,"",D12)</f>
        <v>6</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441529.28</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600" t="s">
        <v>74</v>
      </c>
      <c r="M99" s="600" t="s">
        <v>74</v>
      </c>
      <c r="N99" s="600" t="s">
        <v>94</v>
      </c>
      <c r="O99" s="600" t="s">
        <v>94</v>
      </c>
      <c r="P99" s="600" t="s">
        <v>94</v>
      </c>
      <c r="Q99" s="244"/>
      <c r="R99" s="244"/>
      <c r="S99" s="244"/>
      <c r="T99" s="244"/>
      <c r="U99" s="244"/>
    </row>
    <row r="100" spans="1:21">
      <c r="B100" s="145" t="str">
        <f t="shared" ref="B100:B131" si="20">IF(D100=F99,"","IU")</f>
        <v>IU</v>
      </c>
      <c r="C100" s="496">
        <f>IF(D94= "","-",D94)</f>
        <v>2011</v>
      </c>
      <c r="D100" s="497">
        <v>0</v>
      </c>
      <c r="E100" s="499">
        <v>101638.13793103448</v>
      </c>
      <c r="F100" s="506">
        <v>11688385.862068966</v>
      </c>
      <c r="G100" s="572">
        <v>5844192.931034483</v>
      </c>
      <c r="H100" s="572">
        <v>536168.05303368822</v>
      </c>
      <c r="I100" s="572">
        <v>536168.05303368822</v>
      </c>
      <c r="J100" s="505">
        <v>0</v>
      </c>
      <c r="K100" s="589"/>
      <c r="L100" s="601">
        <f t="shared" ref="L100:L105" si="21">H100</f>
        <v>536168.05303368822</v>
      </c>
      <c r="M100" s="522">
        <f t="shared" ref="M100:M131" si="22">IF(L100&lt;&gt;0,+H100-L100,0)</f>
        <v>0</v>
      </c>
      <c r="N100" s="602">
        <f t="shared" ref="N100:N105" si="23">I100</f>
        <v>536168.05303368822</v>
      </c>
      <c r="O100" s="603">
        <f t="shared" ref="O100:O131" si="24">IF(N100&lt;&gt;0,+I100-N100,0)</f>
        <v>0</v>
      </c>
      <c r="P100" s="604">
        <f t="shared" ref="P100:P131" si="25">+O100-M100</f>
        <v>0</v>
      </c>
      <c r="Q100" s="244"/>
      <c r="R100" s="244"/>
      <c r="S100" s="244"/>
      <c r="T100" s="244"/>
      <c r="U100" s="244"/>
    </row>
    <row r="101" spans="1:21">
      <c r="B101" s="145" t="str">
        <f t="shared" si="20"/>
        <v>IU</v>
      </c>
      <c r="C101" s="496">
        <f>IF(D94="","-",+C100+1)</f>
        <v>2012</v>
      </c>
      <c r="D101" s="497">
        <v>11641161.862068966</v>
      </c>
      <c r="E101" s="499">
        <v>202462.06896551725</v>
      </c>
      <c r="F101" s="506">
        <v>11438699.793103449</v>
      </c>
      <c r="G101" s="506">
        <v>11539930.827586208</v>
      </c>
      <c r="H101" s="499">
        <v>1372027.6470996495</v>
      </c>
      <c r="I101" s="500">
        <v>1372027.6470996495</v>
      </c>
      <c r="J101" s="505">
        <v>0</v>
      </c>
      <c r="K101" s="589"/>
      <c r="L101" s="593">
        <f t="shared" si="21"/>
        <v>1372027.6470996495</v>
      </c>
      <c r="M101" s="505">
        <f t="shared" ref="M101:M106" si="26">IF(L101&lt;&gt;0,+H101-L101,0)</f>
        <v>0</v>
      </c>
      <c r="N101" s="507">
        <f t="shared" si="23"/>
        <v>1372027.6470996495</v>
      </c>
      <c r="O101" s="351">
        <f>IF(N101&lt;&gt;0,+I101-N101,0)</f>
        <v>0</v>
      </c>
      <c r="P101" s="595">
        <f>+O101-M101</f>
        <v>0</v>
      </c>
      <c r="Q101" s="244"/>
      <c r="R101" s="244"/>
      <c r="S101" s="244"/>
      <c r="T101" s="244"/>
      <c r="U101" s="244"/>
    </row>
    <row r="102" spans="1:21">
      <c r="B102" s="145" t="str">
        <f t="shared" si="20"/>
        <v/>
      </c>
      <c r="C102" s="496">
        <f>IF(D94="","-",+C101+1)</f>
        <v>2013</v>
      </c>
      <c r="D102" s="497">
        <v>11438699.793103449</v>
      </c>
      <c r="E102" s="499">
        <v>202462.06896551725</v>
      </c>
      <c r="F102" s="506">
        <v>11236237.724137932</v>
      </c>
      <c r="G102" s="506">
        <v>11337468.758620691</v>
      </c>
      <c r="H102" s="499">
        <v>1491078.2600060694</v>
      </c>
      <c r="I102" s="500">
        <v>1491078.2600060694</v>
      </c>
      <c r="J102" s="505">
        <v>0</v>
      </c>
      <c r="K102" s="505"/>
      <c r="L102" s="593">
        <f t="shared" si="21"/>
        <v>1491078.2600060694</v>
      </c>
      <c r="M102" s="505">
        <f t="shared" si="26"/>
        <v>0</v>
      </c>
      <c r="N102" s="507">
        <f t="shared" si="23"/>
        <v>1491078.2600060694</v>
      </c>
      <c r="O102" s="351">
        <f>IF(N102&lt;&gt;0,+I102-N102,0)</f>
        <v>0</v>
      </c>
      <c r="P102" s="595">
        <f>+O102-M102</f>
        <v>0</v>
      </c>
      <c r="Q102" s="244"/>
      <c r="R102" s="244"/>
      <c r="S102" s="244"/>
      <c r="T102" s="244"/>
      <c r="U102" s="244"/>
    </row>
    <row r="103" spans="1:21">
      <c r="B103" s="145" t="str">
        <f t="shared" si="20"/>
        <v/>
      </c>
      <c r="C103" s="496">
        <f>IF(D94="","-",+C102+1)</f>
        <v>2014</v>
      </c>
      <c r="D103" s="497">
        <v>11236237.724137932</v>
      </c>
      <c r="E103" s="499">
        <v>202462.06896551725</v>
      </c>
      <c r="F103" s="506">
        <v>11033775.655172415</v>
      </c>
      <c r="G103" s="506">
        <v>11135006.689655174</v>
      </c>
      <c r="H103" s="499">
        <v>1399958.856395772</v>
      </c>
      <c r="I103" s="500">
        <v>1399958.856395772</v>
      </c>
      <c r="J103" s="505">
        <v>0</v>
      </c>
      <c r="K103" s="505"/>
      <c r="L103" s="593">
        <f t="shared" si="21"/>
        <v>1399958.856395772</v>
      </c>
      <c r="M103" s="505">
        <f t="shared" si="26"/>
        <v>0</v>
      </c>
      <c r="N103" s="507">
        <f t="shared" si="23"/>
        <v>1399958.856395772</v>
      </c>
      <c r="O103" s="351">
        <f>IF(N103&lt;&gt;0,+I103-N103,0)</f>
        <v>0</v>
      </c>
      <c r="P103" s="595">
        <f>+O103-M103</f>
        <v>0</v>
      </c>
      <c r="Q103" s="244"/>
      <c r="R103" s="244"/>
      <c r="S103" s="244"/>
      <c r="T103" s="244"/>
      <c r="U103" s="244"/>
    </row>
    <row r="104" spans="1:21">
      <c r="B104" s="145" t="str">
        <f t="shared" si="20"/>
        <v>IU</v>
      </c>
      <c r="C104" s="496">
        <f>IF(D94="","-",+C103+1)</f>
        <v>2015</v>
      </c>
      <c r="D104" s="497">
        <v>10329207.655172413</v>
      </c>
      <c r="E104" s="499">
        <v>229963.16666666666</v>
      </c>
      <c r="F104" s="506">
        <v>10099244.488505747</v>
      </c>
      <c r="G104" s="506">
        <v>10214226.071839079</v>
      </c>
      <c r="H104" s="499">
        <v>1367107.118762597</v>
      </c>
      <c r="I104" s="500">
        <v>1367107.118762597</v>
      </c>
      <c r="J104" s="505">
        <v>0</v>
      </c>
      <c r="K104" s="505"/>
      <c r="L104" s="593">
        <f t="shared" si="21"/>
        <v>1367107.118762597</v>
      </c>
      <c r="M104" s="505">
        <f t="shared" si="26"/>
        <v>0</v>
      </c>
      <c r="N104" s="507">
        <f t="shared" si="23"/>
        <v>1367107.118762597</v>
      </c>
      <c r="O104" s="501">
        <f t="shared" si="24"/>
        <v>0</v>
      </c>
      <c r="P104" s="505">
        <f t="shared" si="25"/>
        <v>0</v>
      </c>
      <c r="Q104" s="244"/>
      <c r="R104" s="244"/>
      <c r="S104" s="244"/>
      <c r="T104" s="244"/>
      <c r="U104" s="244"/>
    </row>
    <row r="105" spans="1:21">
      <c r="B105" s="145" t="str">
        <f t="shared" si="20"/>
        <v/>
      </c>
      <c r="C105" s="496">
        <f>IF(D94="","-",+C104+1)</f>
        <v>2016</v>
      </c>
      <c r="D105" s="497">
        <v>10099244.488505747</v>
      </c>
      <c r="E105" s="499">
        <v>216435.92156862744</v>
      </c>
      <c r="F105" s="506">
        <v>9882808.5669371206</v>
      </c>
      <c r="G105" s="506">
        <v>9991026.5277214348</v>
      </c>
      <c r="H105" s="499">
        <v>1299158.0653771381</v>
      </c>
      <c r="I105" s="500">
        <v>1299158.0653771381</v>
      </c>
      <c r="J105" s="505">
        <f t="shared" ref="J105:J131" si="27">+I105-H105</f>
        <v>0</v>
      </c>
      <c r="K105" s="505"/>
      <c r="L105" s="593">
        <f t="shared" si="21"/>
        <v>1299158.0653771381</v>
      </c>
      <c r="M105" s="505">
        <f t="shared" si="26"/>
        <v>0</v>
      </c>
      <c r="N105" s="507">
        <f t="shared" si="23"/>
        <v>1299158.0653771381</v>
      </c>
      <c r="O105" s="501">
        <f>IF(N105&lt;&gt;0,+I105-N105,0)</f>
        <v>0</v>
      </c>
      <c r="P105" s="505">
        <f>+O105-M105</f>
        <v>0</v>
      </c>
      <c r="Q105" s="244"/>
      <c r="R105" s="244"/>
      <c r="S105" s="244"/>
      <c r="T105" s="244"/>
      <c r="U105" s="244"/>
    </row>
    <row r="106" spans="1:21">
      <c r="B106" s="145" t="str">
        <f t="shared" si="20"/>
        <v/>
      </c>
      <c r="C106" s="496">
        <f>IF(D94="","-",+C105+1)</f>
        <v>2017</v>
      </c>
      <c r="D106" s="497">
        <v>9882808.5669371206</v>
      </c>
      <c r="E106" s="499">
        <v>275955.8</v>
      </c>
      <c r="F106" s="506">
        <v>9606852.7669371199</v>
      </c>
      <c r="G106" s="506">
        <v>9744830.6669371203</v>
      </c>
      <c r="H106" s="499">
        <v>1419373.9279001462</v>
      </c>
      <c r="I106" s="500">
        <v>1419373.9279001462</v>
      </c>
      <c r="J106" s="505">
        <v>0</v>
      </c>
      <c r="K106" s="505"/>
      <c r="L106" s="593">
        <f>H106</f>
        <v>1419373.9279001462</v>
      </c>
      <c r="M106" s="505">
        <f t="shared" si="26"/>
        <v>0</v>
      </c>
      <c r="N106" s="507">
        <f>I106</f>
        <v>1419373.9279001462</v>
      </c>
      <c r="O106" s="501">
        <f>IF(N106&lt;&gt;0,+I106-N106,0)</f>
        <v>0</v>
      </c>
      <c r="P106" s="505">
        <f>+O106-M106</f>
        <v>0</v>
      </c>
      <c r="Q106" s="244"/>
      <c r="R106" s="244"/>
      <c r="S106" s="244"/>
      <c r="T106" s="244"/>
      <c r="U106" s="244"/>
    </row>
    <row r="107" spans="1:21">
      <c r="B107" s="145" t="str">
        <f t="shared" si="20"/>
        <v/>
      </c>
      <c r="C107" s="496">
        <f>IF(D94="","-",+C106+1)</f>
        <v>2018</v>
      </c>
      <c r="D107" s="497">
        <v>9606852.7669371199</v>
      </c>
      <c r="E107" s="499">
        <v>306617.55555555556</v>
      </c>
      <c r="F107" s="506">
        <v>9300235.2113815639</v>
      </c>
      <c r="G107" s="506">
        <v>9453543.9891593419</v>
      </c>
      <c r="H107" s="499">
        <v>1304556.8117171286</v>
      </c>
      <c r="I107" s="500">
        <v>1304556.8117171286</v>
      </c>
      <c r="J107" s="505">
        <f t="shared" si="27"/>
        <v>0</v>
      </c>
      <c r="K107" s="505"/>
      <c r="L107" s="593">
        <f>H107</f>
        <v>1304556.8117171286</v>
      </c>
      <c r="M107" s="505">
        <f t="shared" ref="M107" si="28">IF(L107&lt;&gt;0,+H107-L107,0)</f>
        <v>0</v>
      </c>
      <c r="N107" s="507">
        <f>I107</f>
        <v>1304556.8117171286</v>
      </c>
      <c r="O107" s="501">
        <f>IF(N107&lt;&gt;0,+I107-N107,0)</f>
        <v>0</v>
      </c>
      <c r="P107" s="505">
        <f>+O107-M107</f>
        <v>0</v>
      </c>
      <c r="Q107" s="244"/>
      <c r="R107" s="244"/>
      <c r="S107" s="244"/>
      <c r="T107" s="244"/>
      <c r="U107" s="244"/>
    </row>
    <row r="108" spans="1:21">
      <c r="B108" s="145" t="str">
        <f t="shared" si="20"/>
        <v/>
      </c>
      <c r="C108" s="496">
        <f>IF(D94="","-",+C107+1)</f>
        <v>2019</v>
      </c>
      <c r="D108" s="497">
        <v>9300235.2113815639</v>
      </c>
      <c r="E108" s="499">
        <v>306617.55555555556</v>
      </c>
      <c r="F108" s="506">
        <v>8993617.6558260079</v>
      </c>
      <c r="G108" s="506">
        <v>9146926.4336037859</v>
      </c>
      <c r="H108" s="499">
        <v>1272189.5116159101</v>
      </c>
      <c r="I108" s="500">
        <v>1272189.5116159101</v>
      </c>
      <c r="J108" s="505">
        <f t="shared" si="27"/>
        <v>0</v>
      </c>
      <c r="K108" s="505"/>
      <c r="L108" s="593">
        <f>H108</f>
        <v>1272189.5116159101</v>
      </c>
      <c r="M108" s="505">
        <f t="shared" ref="M108" si="29">IF(L108&lt;&gt;0,+H108-L108,0)</f>
        <v>0</v>
      </c>
      <c r="N108" s="507">
        <f>I108</f>
        <v>1272189.5116159101</v>
      </c>
      <c r="O108" s="505">
        <f t="shared" si="24"/>
        <v>0</v>
      </c>
      <c r="P108" s="505">
        <f t="shared" si="25"/>
        <v>0</v>
      </c>
      <c r="Q108" s="244"/>
      <c r="R108" s="244"/>
      <c r="S108" s="244"/>
      <c r="T108" s="244"/>
      <c r="U108" s="244"/>
    </row>
    <row r="109" spans="1:21">
      <c r="B109" s="145" t="str">
        <f t="shared" si="20"/>
        <v/>
      </c>
      <c r="C109" s="496">
        <f>IF(D94="","-",+C108+1)</f>
        <v>2020</v>
      </c>
      <c r="D109" s="497">
        <v>8993617.6558260079</v>
      </c>
      <c r="E109" s="499">
        <v>394222.57142857142</v>
      </c>
      <c r="F109" s="506">
        <v>8599395.0843974371</v>
      </c>
      <c r="G109" s="506">
        <v>8796506.3701117225</v>
      </c>
      <c r="H109" s="499">
        <v>1330289.5929866973</v>
      </c>
      <c r="I109" s="500">
        <v>1330289.5929866973</v>
      </c>
      <c r="J109" s="505">
        <f t="shared" si="27"/>
        <v>0</v>
      </c>
      <c r="K109" s="505"/>
      <c r="L109" s="593">
        <f>H109</f>
        <v>1330289.5929866973</v>
      </c>
      <c r="M109" s="505">
        <f t="shared" ref="M109" si="30">IF(L109&lt;&gt;0,+H109-L109,0)</f>
        <v>0</v>
      </c>
      <c r="N109" s="507">
        <f>I109</f>
        <v>1330289.5929866973</v>
      </c>
      <c r="O109" s="505">
        <f t="shared" si="24"/>
        <v>0</v>
      </c>
      <c r="P109" s="505">
        <f t="shared" si="25"/>
        <v>0</v>
      </c>
      <c r="Q109" s="244"/>
      <c r="R109" s="244"/>
      <c r="S109" s="244"/>
      <c r="T109" s="244"/>
      <c r="U109" s="244"/>
    </row>
    <row r="110" spans="1:21">
      <c r="B110" s="145" t="str">
        <f t="shared" si="20"/>
        <v/>
      </c>
      <c r="C110" s="496">
        <f>IF(D94="","-",+C109+1)</f>
        <v>2021</v>
      </c>
      <c r="D110" s="350">
        <f>IF(F109+SUM(E$100:E109)=D$93,F109,D$93-SUM(E$100:E109))</f>
        <v>8599395.0843974371</v>
      </c>
      <c r="E110" s="510">
        <f>IF(+J97&lt;F109,J97,D110)</f>
        <v>441529.28</v>
      </c>
      <c r="F110" s="511">
        <f t="shared" ref="F110:F132" si="31">+D110-E110</f>
        <v>8157865.8043974368</v>
      </c>
      <c r="G110" s="511">
        <f t="shared" ref="G110:G131" si="32">+(F110+D110)/2</f>
        <v>8378630.4443974365</v>
      </c>
      <c r="H110" s="646">
        <f t="shared" ref="H110:H155" si="33">(D110+F110)/2*J$95+E110</f>
        <v>1429889.3945469856</v>
      </c>
      <c r="I110" s="573">
        <f t="shared" ref="I110:I131" si="34">+J$96*G110+E110</f>
        <v>1429889.3945469856</v>
      </c>
      <c r="J110" s="505">
        <f t="shared" si="27"/>
        <v>0</v>
      </c>
      <c r="K110" s="505"/>
      <c r="L110" s="513"/>
      <c r="M110" s="505">
        <f t="shared" si="22"/>
        <v>0</v>
      </c>
      <c r="N110" s="513"/>
      <c r="O110" s="505">
        <f t="shared" si="24"/>
        <v>0</v>
      </c>
      <c r="P110" s="505">
        <f t="shared" si="25"/>
        <v>0</v>
      </c>
      <c r="Q110" s="244"/>
      <c r="R110" s="244"/>
      <c r="S110" s="244"/>
      <c r="T110" s="244"/>
      <c r="U110" s="244"/>
    </row>
    <row r="111" spans="1:21">
      <c r="B111" s="145" t="str">
        <f t="shared" si="20"/>
        <v/>
      </c>
      <c r="C111" s="496">
        <f>IF(D94="","-",+C110+1)</f>
        <v>2022</v>
      </c>
      <c r="D111" s="350">
        <f>IF(F110+SUM(E$100:E110)=D$93,F110,D$93-SUM(E$100:E110))</f>
        <v>8157865.8043974368</v>
      </c>
      <c r="E111" s="510">
        <f>IF(+J97&lt;F110,J97,D111)</f>
        <v>441529.28</v>
      </c>
      <c r="F111" s="511">
        <f t="shared" si="31"/>
        <v>7716336.5243974365</v>
      </c>
      <c r="G111" s="511">
        <f t="shared" si="32"/>
        <v>7937101.1643974371</v>
      </c>
      <c r="H111" s="646">
        <f t="shared" si="33"/>
        <v>1377805.7118195239</v>
      </c>
      <c r="I111" s="573">
        <f t="shared" si="34"/>
        <v>1377805.7118195239</v>
      </c>
      <c r="J111" s="505">
        <f t="shared" si="27"/>
        <v>0</v>
      </c>
      <c r="K111" s="505"/>
      <c r="L111" s="513"/>
      <c r="M111" s="505">
        <f t="shared" si="22"/>
        <v>0</v>
      </c>
      <c r="N111" s="513"/>
      <c r="O111" s="505">
        <f t="shared" si="24"/>
        <v>0</v>
      </c>
      <c r="P111" s="505">
        <f t="shared" si="25"/>
        <v>0</v>
      </c>
      <c r="Q111" s="244"/>
      <c r="R111" s="244"/>
      <c r="S111" s="244"/>
      <c r="T111" s="244"/>
      <c r="U111" s="244"/>
    </row>
    <row r="112" spans="1:21">
      <c r="B112" s="145" t="str">
        <f t="shared" si="20"/>
        <v/>
      </c>
      <c r="C112" s="496">
        <f>IF(D94="","-",+C111+1)</f>
        <v>2023</v>
      </c>
      <c r="D112" s="350">
        <f>IF(F111+SUM(E$100:E111)=D$93,F111,D$93-SUM(E$100:E111))</f>
        <v>7716336.5243974365</v>
      </c>
      <c r="E112" s="510">
        <f>IF(+J97&lt;F111,J97,D112)</f>
        <v>441529.28</v>
      </c>
      <c r="F112" s="511">
        <f t="shared" si="31"/>
        <v>7274807.2443974363</v>
      </c>
      <c r="G112" s="511">
        <f t="shared" si="32"/>
        <v>7495571.8843974359</v>
      </c>
      <c r="H112" s="646">
        <f t="shared" si="33"/>
        <v>1325722.0290920618</v>
      </c>
      <c r="I112" s="573">
        <f t="shared" si="34"/>
        <v>1325722.0290920618</v>
      </c>
      <c r="J112" s="505">
        <f t="shared" si="27"/>
        <v>0</v>
      </c>
      <c r="K112" s="505"/>
      <c r="L112" s="513"/>
      <c r="M112" s="505">
        <f t="shared" si="22"/>
        <v>0</v>
      </c>
      <c r="N112" s="513"/>
      <c r="O112" s="505">
        <f t="shared" si="24"/>
        <v>0</v>
      </c>
      <c r="P112" s="505">
        <f t="shared" si="25"/>
        <v>0</v>
      </c>
      <c r="Q112" s="244"/>
      <c r="R112" s="244"/>
      <c r="S112" s="244"/>
      <c r="T112" s="244"/>
      <c r="U112" s="244"/>
    </row>
    <row r="113" spans="2:21">
      <c r="B113" s="145" t="str">
        <f t="shared" si="20"/>
        <v/>
      </c>
      <c r="C113" s="496">
        <f>IF(D94="","-",+C112+1)</f>
        <v>2024</v>
      </c>
      <c r="D113" s="350">
        <f>IF(F112+SUM(E$100:E112)=D$93,F112,D$93-SUM(E$100:E112))</f>
        <v>7274807.2443974363</v>
      </c>
      <c r="E113" s="510">
        <f>IF(+J97&lt;F112,J97,D113)</f>
        <v>441529.28</v>
      </c>
      <c r="F113" s="511">
        <f t="shared" si="31"/>
        <v>6833277.964397436</v>
      </c>
      <c r="G113" s="511">
        <f t="shared" si="32"/>
        <v>7054042.6043974366</v>
      </c>
      <c r="H113" s="646">
        <f t="shared" si="33"/>
        <v>1273638.3463646001</v>
      </c>
      <c r="I113" s="573">
        <f t="shared" si="34"/>
        <v>1273638.3463646001</v>
      </c>
      <c r="J113" s="505">
        <f t="shared" si="27"/>
        <v>0</v>
      </c>
      <c r="K113" s="505"/>
      <c r="L113" s="513"/>
      <c r="M113" s="505">
        <f t="shared" si="22"/>
        <v>0</v>
      </c>
      <c r="N113" s="513"/>
      <c r="O113" s="505">
        <f t="shared" si="24"/>
        <v>0</v>
      </c>
      <c r="P113" s="505">
        <f t="shared" si="25"/>
        <v>0</v>
      </c>
      <c r="Q113" s="244"/>
      <c r="R113" s="244"/>
      <c r="S113" s="244"/>
      <c r="T113" s="244"/>
      <c r="U113" s="244"/>
    </row>
    <row r="114" spans="2:21">
      <c r="B114" s="145" t="str">
        <f t="shared" si="20"/>
        <v/>
      </c>
      <c r="C114" s="496">
        <f>IF(D94="","-",+C113+1)</f>
        <v>2025</v>
      </c>
      <c r="D114" s="350">
        <f>IF(F113+SUM(E$100:E113)=D$93,F113,D$93-SUM(E$100:E113))</f>
        <v>6833277.964397436</v>
      </c>
      <c r="E114" s="510">
        <f>IF(+J97&lt;F113,J97,D114)</f>
        <v>441529.28</v>
      </c>
      <c r="F114" s="511">
        <f t="shared" si="31"/>
        <v>6391748.6843974357</v>
      </c>
      <c r="G114" s="511">
        <f t="shared" si="32"/>
        <v>6612513.3243974354</v>
      </c>
      <c r="H114" s="646">
        <f t="shared" si="33"/>
        <v>1221554.6636371384</v>
      </c>
      <c r="I114" s="573">
        <f t="shared" si="34"/>
        <v>1221554.6636371384</v>
      </c>
      <c r="J114" s="505">
        <f t="shared" si="27"/>
        <v>0</v>
      </c>
      <c r="K114" s="505"/>
      <c r="L114" s="513"/>
      <c r="M114" s="505">
        <f t="shared" si="22"/>
        <v>0</v>
      </c>
      <c r="N114" s="513"/>
      <c r="O114" s="505">
        <f t="shared" si="24"/>
        <v>0</v>
      </c>
      <c r="P114" s="505">
        <f t="shared" si="25"/>
        <v>0</v>
      </c>
      <c r="Q114" s="244"/>
      <c r="R114" s="244"/>
      <c r="S114" s="244"/>
      <c r="T114" s="244"/>
      <c r="U114" s="244"/>
    </row>
    <row r="115" spans="2:21">
      <c r="B115" s="145" t="str">
        <f t="shared" si="20"/>
        <v/>
      </c>
      <c r="C115" s="496">
        <f>IF(D94="","-",+C114+1)</f>
        <v>2026</v>
      </c>
      <c r="D115" s="350">
        <f>IF(F114+SUM(E$100:E114)=D$93,F114,D$93-SUM(E$100:E114))</f>
        <v>6391748.6843974357</v>
      </c>
      <c r="E115" s="510">
        <f>IF(+J97&lt;F114,J97,D115)</f>
        <v>441529.28</v>
      </c>
      <c r="F115" s="511">
        <f t="shared" si="31"/>
        <v>5950219.4043974355</v>
      </c>
      <c r="G115" s="511">
        <f t="shared" si="32"/>
        <v>6170984.0443974361</v>
      </c>
      <c r="H115" s="646">
        <f t="shared" si="33"/>
        <v>1169470.9809096768</v>
      </c>
      <c r="I115" s="573">
        <f t="shared" si="34"/>
        <v>1169470.9809096768</v>
      </c>
      <c r="J115" s="505">
        <f t="shared" si="27"/>
        <v>0</v>
      </c>
      <c r="K115" s="505"/>
      <c r="L115" s="513"/>
      <c r="M115" s="505">
        <f t="shared" si="22"/>
        <v>0</v>
      </c>
      <c r="N115" s="513"/>
      <c r="O115" s="505">
        <f t="shared" si="24"/>
        <v>0</v>
      </c>
      <c r="P115" s="505">
        <f t="shared" si="25"/>
        <v>0</v>
      </c>
      <c r="Q115" s="244"/>
      <c r="R115" s="244"/>
      <c r="S115" s="244"/>
      <c r="T115" s="244"/>
      <c r="U115" s="244"/>
    </row>
    <row r="116" spans="2:21">
      <c r="B116" s="145" t="str">
        <f t="shared" si="20"/>
        <v/>
      </c>
      <c r="C116" s="496">
        <f>IF(D94="","-",+C115+1)</f>
        <v>2027</v>
      </c>
      <c r="D116" s="350">
        <f>IF(F115+SUM(E$100:E115)=D$93,F115,D$93-SUM(E$100:E115))</f>
        <v>5950219.4043974355</v>
      </c>
      <c r="E116" s="510">
        <f>IF(+J97&lt;F115,J97,D116)</f>
        <v>441529.28</v>
      </c>
      <c r="F116" s="511">
        <f t="shared" si="31"/>
        <v>5508690.1243974352</v>
      </c>
      <c r="G116" s="511">
        <f t="shared" si="32"/>
        <v>5729454.7643974349</v>
      </c>
      <c r="H116" s="646">
        <f t="shared" si="33"/>
        <v>1117387.2981822146</v>
      </c>
      <c r="I116" s="573">
        <f t="shared" si="34"/>
        <v>1117387.2981822146</v>
      </c>
      <c r="J116" s="505">
        <f t="shared" si="27"/>
        <v>0</v>
      </c>
      <c r="K116" s="505"/>
      <c r="L116" s="513"/>
      <c r="M116" s="505">
        <f t="shared" si="22"/>
        <v>0</v>
      </c>
      <c r="N116" s="513"/>
      <c r="O116" s="505">
        <f t="shared" si="24"/>
        <v>0</v>
      </c>
      <c r="P116" s="505">
        <f t="shared" si="25"/>
        <v>0</v>
      </c>
      <c r="Q116" s="244"/>
      <c r="R116" s="244"/>
      <c r="S116" s="244"/>
      <c r="T116" s="244"/>
      <c r="U116" s="244"/>
    </row>
    <row r="117" spans="2:21">
      <c r="B117" s="145" t="str">
        <f t="shared" si="20"/>
        <v/>
      </c>
      <c r="C117" s="496">
        <f>IF(D94="","-",+C116+1)</f>
        <v>2028</v>
      </c>
      <c r="D117" s="350">
        <f>IF(F116+SUM(E$100:E116)=D$93,F116,D$93-SUM(E$100:E116))</f>
        <v>5508690.1243974352</v>
      </c>
      <c r="E117" s="510">
        <f>IF(+J97&lt;F116,J97,D117)</f>
        <v>441529.28</v>
      </c>
      <c r="F117" s="511">
        <f t="shared" si="31"/>
        <v>5067160.844397435</v>
      </c>
      <c r="G117" s="511">
        <f t="shared" si="32"/>
        <v>5287925.4843974356</v>
      </c>
      <c r="H117" s="646">
        <f t="shared" si="33"/>
        <v>1065303.6154547529</v>
      </c>
      <c r="I117" s="573">
        <f t="shared" si="34"/>
        <v>1065303.6154547529</v>
      </c>
      <c r="J117" s="505">
        <f t="shared" si="27"/>
        <v>0</v>
      </c>
      <c r="K117" s="505"/>
      <c r="L117" s="513"/>
      <c r="M117" s="505">
        <f t="shared" si="22"/>
        <v>0</v>
      </c>
      <c r="N117" s="513"/>
      <c r="O117" s="505">
        <f t="shared" si="24"/>
        <v>0</v>
      </c>
      <c r="P117" s="505">
        <f t="shared" si="25"/>
        <v>0</v>
      </c>
      <c r="Q117" s="244"/>
      <c r="R117" s="244"/>
      <c r="S117" s="244"/>
      <c r="T117" s="244"/>
      <c r="U117" s="244"/>
    </row>
    <row r="118" spans="2:21">
      <c r="B118" s="145" t="str">
        <f t="shared" si="20"/>
        <v/>
      </c>
      <c r="C118" s="496">
        <f>IF(D94="","-",+C117+1)</f>
        <v>2029</v>
      </c>
      <c r="D118" s="350">
        <f>IF(F117+SUM(E$100:E117)=D$93,F117,D$93-SUM(E$100:E117))</f>
        <v>5067160.844397435</v>
      </c>
      <c r="E118" s="510">
        <f>IF(+J97&lt;F117,J97,D118)</f>
        <v>441529.28</v>
      </c>
      <c r="F118" s="511">
        <f t="shared" si="31"/>
        <v>4625631.5643974347</v>
      </c>
      <c r="G118" s="511">
        <f t="shared" si="32"/>
        <v>4846396.2043974344</v>
      </c>
      <c r="H118" s="646">
        <f t="shared" si="33"/>
        <v>1013219.9327272911</v>
      </c>
      <c r="I118" s="573">
        <f t="shared" si="34"/>
        <v>1013219.9327272911</v>
      </c>
      <c r="J118" s="505">
        <f t="shared" si="27"/>
        <v>0</v>
      </c>
      <c r="K118" s="505"/>
      <c r="L118" s="513"/>
      <c r="M118" s="505">
        <f t="shared" si="22"/>
        <v>0</v>
      </c>
      <c r="N118" s="513"/>
      <c r="O118" s="505">
        <f t="shared" si="24"/>
        <v>0</v>
      </c>
      <c r="P118" s="505">
        <f t="shared" si="25"/>
        <v>0</v>
      </c>
      <c r="Q118" s="244"/>
      <c r="R118" s="244"/>
      <c r="S118" s="244"/>
      <c r="T118" s="244"/>
      <c r="U118" s="244"/>
    </row>
    <row r="119" spans="2:21">
      <c r="B119" s="145" t="str">
        <f t="shared" si="20"/>
        <v/>
      </c>
      <c r="C119" s="496">
        <f>IF(D94="","-",+C118+1)</f>
        <v>2030</v>
      </c>
      <c r="D119" s="350">
        <f>IF(F118+SUM(E$100:E118)=D$93,F118,D$93-SUM(E$100:E118))</f>
        <v>4625631.5643974347</v>
      </c>
      <c r="E119" s="510">
        <f>IF(+J97&lt;F118,J97,D119)</f>
        <v>441529.28</v>
      </c>
      <c r="F119" s="511">
        <f t="shared" si="31"/>
        <v>4184102.2843974344</v>
      </c>
      <c r="G119" s="511">
        <f t="shared" si="32"/>
        <v>4404866.924397435</v>
      </c>
      <c r="H119" s="646">
        <f t="shared" si="33"/>
        <v>961136.24999982957</v>
      </c>
      <c r="I119" s="573">
        <f t="shared" si="34"/>
        <v>961136.24999982957</v>
      </c>
      <c r="J119" s="505">
        <f t="shared" si="27"/>
        <v>0</v>
      </c>
      <c r="K119" s="505"/>
      <c r="L119" s="513"/>
      <c r="M119" s="505">
        <f t="shared" si="22"/>
        <v>0</v>
      </c>
      <c r="N119" s="513"/>
      <c r="O119" s="505">
        <f t="shared" si="24"/>
        <v>0</v>
      </c>
      <c r="P119" s="505">
        <f t="shared" si="25"/>
        <v>0</v>
      </c>
      <c r="Q119" s="244"/>
      <c r="R119" s="244"/>
      <c r="S119" s="244"/>
      <c r="T119" s="244"/>
      <c r="U119" s="244"/>
    </row>
    <row r="120" spans="2:21">
      <c r="B120" s="145" t="str">
        <f t="shared" si="20"/>
        <v/>
      </c>
      <c r="C120" s="496">
        <f>IF(D94="","-",+C119+1)</f>
        <v>2031</v>
      </c>
      <c r="D120" s="350">
        <f>IF(F119+SUM(E$100:E119)=D$93,F119,D$93-SUM(E$100:E119))</f>
        <v>4184102.2843974344</v>
      </c>
      <c r="E120" s="510">
        <f>IF(+J97&lt;F119,J97,D120)</f>
        <v>441529.28</v>
      </c>
      <c r="F120" s="511">
        <f t="shared" si="31"/>
        <v>3742573.0043974342</v>
      </c>
      <c r="G120" s="511">
        <f t="shared" si="32"/>
        <v>3963337.6443974343</v>
      </c>
      <c r="H120" s="646">
        <f t="shared" si="33"/>
        <v>909052.56727236765</v>
      </c>
      <c r="I120" s="573">
        <f t="shared" si="34"/>
        <v>909052.56727236765</v>
      </c>
      <c r="J120" s="505">
        <f t="shared" si="27"/>
        <v>0</v>
      </c>
      <c r="K120" s="505"/>
      <c r="L120" s="513"/>
      <c r="M120" s="505">
        <f t="shared" si="22"/>
        <v>0</v>
      </c>
      <c r="N120" s="513"/>
      <c r="O120" s="505">
        <f t="shared" si="24"/>
        <v>0</v>
      </c>
      <c r="P120" s="505">
        <f t="shared" si="25"/>
        <v>0</v>
      </c>
      <c r="Q120" s="244"/>
      <c r="R120" s="244"/>
      <c r="S120" s="244"/>
      <c r="T120" s="244"/>
      <c r="U120" s="244"/>
    </row>
    <row r="121" spans="2:21">
      <c r="B121" s="145" t="str">
        <f t="shared" si="20"/>
        <v/>
      </c>
      <c r="C121" s="496">
        <f>IF(D94="","-",+C120+1)</f>
        <v>2032</v>
      </c>
      <c r="D121" s="350">
        <f>IF(F120+SUM(E$100:E120)=D$93,F120,D$93-SUM(E$100:E120))</f>
        <v>3742573.0043974342</v>
      </c>
      <c r="E121" s="510">
        <f>IF(+J97&lt;F120,J97,D121)</f>
        <v>441529.28</v>
      </c>
      <c r="F121" s="511">
        <f t="shared" si="31"/>
        <v>3301043.7243974339</v>
      </c>
      <c r="G121" s="511">
        <f t="shared" si="32"/>
        <v>3521808.3643974341</v>
      </c>
      <c r="H121" s="646">
        <f t="shared" si="33"/>
        <v>856968.88454490586</v>
      </c>
      <c r="I121" s="573">
        <f t="shared" si="34"/>
        <v>856968.88454490586</v>
      </c>
      <c r="J121" s="505">
        <f t="shared" si="27"/>
        <v>0</v>
      </c>
      <c r="K121" s="505"/>
      <c r="L121" s="513"/>
      <c r="M121" s="505">
        <f t="shared" si="22"/>
        <v>0</v>
      </c>
      <c r="N121" s="513"/>
      <c r="O121" s="505">
        <f t="shared" si="24"/>
        <v>0</v>
      </c>
      <c r="P121" s="505">
        <f t="shared" si="25"/>
        <v>0</v>
      </c>
      <c r="Q121" s="244"/>
      <c r="R121" s="244"/>
      <c r="S121" s="244"/>
      <c r="T121" s="244"/>
      <c r="U121" s="244"/>
    </row>
    <row r="122" spans="2:21">
      <c r="B122" s="145" t="str">
        <f t="shared" si="20"/>
        <v/>
      </c>
      <c r="C122" s="496">
        <f>IF(D94="","-",+C121+1)</f>
        <v>2033</v>
      </c>
      <c r="D122" s="350">
        <f>IF(F121+SUM(E$100:E121)=D$93,F121,D$93-SUM(E$100:E121))</f>
        <v>3301043.7243974339</v>
      </c>
      <c r="E122" s="510">
        <f>IF(+J97&lt;F121,J97,D122)</f>
        <v>441529.28</v>
      </c>
      <c r="F122" s="511">
        <f t="shared" si="31"/>
        <v>2859514.4443974337</v>
      </c>
      <c r="G122" s="511">
        <f t="shared" si="32"/>
        <v>3080279.0843974338</v>
      </c>
      <c r="H122" s="646">
        <f t="shared" si="33"/>
        <v>804885.20181744406</v>
      </c>
      <c r="I122" s="573">
        <f t="shared" si="34"/>
        <v>804885.20181744406</v>
      </c>
      <c r="J122" s="505">
        <f t="shared" si="27"/>
        <v>0</v>
      </c>
      <c r="K122" s="505"/>
      <c r="L122" s="513"/>
      <c r="M122" s="505">
        <f t="shared" si="22"/>
        <v>0</v>
      </c>
      <c r="N122" s="513"/>
      <c r="O122" s="505">
        <f t="shared" si="24"/>
        <v>0</v>
      </c>
      <c r="P122" s="505">
        <f t="shared" si="25"/>
        <v>0</v>
      </c>
      <c r="Q122" s="244"/>
      <c r="R122" s="244"/>
      <c r="S122" s="244"/>
      <c r="T122" s="244"/>
      <c r="U122" s="244"/>
    </row>
    <row r="123" spans="2:21">
      <c r="B123" s="145" t="str">
        <f t="shared" si="20"/>
        <v/>
      </c>
      <c r="C123" s="496">
        <f>IF(D94="","-",+C122+1)</f>
        <v>2034</v>
      </c>
      <c r="D123" s="350">
        <f>IF(F122+SUM(E$100:E122)=D$93,F122,D$93-SUM(E$100:E122))</f>
        <v>2859514.4443974337</v>
      </c>
      <c r="E123" s="510">
        <f>IF(+J97&lt;F122,J97,D123)</f>
        <v>441529.28</v>
      </c>
      <c r="F123" s="511">
        <f t="shared" si="31"/>
        <v>2417985.1643974334</v>
      </c>
      <c r="G123" s="511">
        <f t="shared" si="32"/>
        <v>2638749.8043974335</v>
      </c>
      <c r="H123" s="646">
        <f t="shared" si="33"/>
        <v>752801.51908998226</v>
      </c>
      <c r="I123" s="573">
        <f t="shared" si="34"/>
        <v>752801.51908998226</v>
      </c>
      <c r="J123" s="505">
        <f t="shared" si="27"/>
        <v>0</v>
      </c>
      <c r="K123" s="505"/>
      <c r="L123" s="513"/>
      <c r="M123" s="505">
        <f t="shared" si="22"/>
        <v>0</v>
      </c>
      <c r="N123" s="513"/>
      <c r="O123" s="505">
        <f t="shared" si="24"/>
        <v>0</v>
      </c>
      <c r="P123" s="505">
        <f t="shared" si="25"/>
        <v>0</v>
      </c>
      <c r="Q123" s="244"/>
      <c r="R123" s="244"/>
      <c r="S123" s="244"/>
      <c r="T123" s="244"/>
      <c r="U123" s="244"/>
    </row>
    <row r="124" spans="2:21">
      <c r="B124" s="145" t="str">
        <f t="shared" si="20"/>
        <v/>
      </c>
      <c r="C124" s="496">
        <f>IF(D94="","-",+C123+1)</f>
        <v>2035</v>
      </c>
      <c r="D124" s="350">
        <f>IF(F123+SUM(E$100:E123)=D$93,F123,D$93-SUM(E$100:E123))</f>
        <v>2417985.1643974334</v>
      </c>
      <c r="E124" s="510">
        <f>IF(+J97&lt;F123,J97,D124)</f>
        <v>441529.28</v>
      </c>
      <c r="F124" s="511">
        <f t="shared" si="31"/>
        <v>1976455.8843974334</v>
      </c>
      <c r="G124" s="511">
        <f t="shared" si="32"/>
        <v>2197220.5243974333</v>
      </c>
      <c r="H124" s="646">
        <f t="shared" si="33"/>
        <v>700717.83636252047</v>
      </c>
      <c r="I124" s="573">
        <f t="shared" si="34"/>
        <v>700717.83636252047</v>
      </c>
      <c r="J124" s="505">
        <f t="shared" si="27"/>
        <v>0</v>
      </c>
      <c r="K124" s="505"/>
      <c r="L124" s="513"/>
      <c r="M124" s="505">
        <f t="shared" si="22"/>
        <v>0</v>
      </c>
      <c r="N124" s="513"/>
      <c r="O124" s="505">
        <f t="shared" si="24"/>
        <v>0</v>
      </c>
      <c r="P124" s="505">
        <f t="shared" si="25"/>
        <v>0</v>
      </c>
      <c r="Q124" s="244"/>
      <c r="R124" s="244"/>
      <c r="S124" s="244"/>
      <c r="T124" s="244"/>
      <c r="U124" s="244"/>
    </row>
    <row r="125" spans="2:21">
      <c r="B125" s="145" t="str">
        <f t="shared" si="20"/>
        <v/>
      </c>
      <c r="C125" s="496">
        <f>IF(D94="","-",+C124+1)</f>
        <v>2036</v>
      </c>
      <c r="D125" s="350">
        <f>IF(F124+SUM(E$100:E124)=D$93,F124,D$93-SUM(E$100:E124))</f>
        <v>1976455.8843974334</v>
      </c>
      <c r="E125" s="510">
        <f>IF(+J97&lt;F124,J97,D125)</f>
        <v>441529.28</v>
      </c>
      <c r="F125" s="511">
        <f t="shared" si="31"/>
        <v>1534926.6043974333</v>
      </c>
      <c r="G125" s="511">
        <f t="shared" si="32"/>
        <v>1755691.2443974335</v>
      </c>
      <c r="H125" s="646">
        <f t="shared" si="33"/>
        <v>648634.15363505878</v>
      </c>
      <c r="I125" s="573">
        <f t="shared" si="34"/>
        <v>648634.15363505878</v>
      </c>
      <c r="J125" s="505">
        <f t="shared" si="27"/>
        <v>0</v>
      </c>
      <c r="K125" s="505"/>
      <c r="L125" s="513"/>
      <c r="M125" s="505">
        <f t="shared" si="22"/>
        <v>0</v>
      </c>
      <c r="N125" s="513"/>
      <c r="O125" s="505">
        <f t="shared" si="24"/>
        <v>0</v>
      </c>
      <c r="P125" s="505">
        <f t="shared" si="25"/>
        <v>0</v>
      </c>
      <c r="Q125" s="244"/>
      <c r="R125" s="244"/>
      <c r="S125" s="244"/>
      <c r="T125" s="244"/>
      <c r="U125" s="244"/>
    </row>
    <row r="126" spans="2:21">
      <c r="B126" s="145" t="str">
        <f t="shared" si="20"/>
        <v/>
      </c>
      <c r="C126" s="496">
        <f>IF(D94="","-",+C125+1)</f>
        <v>2037</v>
      </c>
      <c r="D126" s="350">
        <f>IF(F125+SUM(E$100:E125)=D$93,F125,D$93-SUM(E$100:E125))</f>
        <v>1534926.6043974333</v>
      </c>
      <c r="E126" s="510">
        <f>IF(+J97&lt;F125,J97,D126)</f>
        <v>441529.28</v>
      </c>
      <c r="F126" s="511">
        <f t="shared" si="31"/>
        <v>1093397.3243974333</v>
      </c>
      <c r="G126" s="511">
        <f t="shared" si="32"/>
        <v>1314161.9643974332</v>
      </c>
      <c r="H126" s="646">
        <f t="shared" si="33"/>
        <v>596550.47090759687</v>
      </c>
      <c r="I126" s="573">
        <f t="shared" si="34"/>
        <v>596550.47090759687</v>
      </c>
      <c r="J126" s="505">
        <f t="shared" si="27"/>
        <v>0</v>
      </c>
      <c r="K126" s="505"/>
      <c r="L126" s="513"/>
      <c r="M126" s="505">
        <f t="shared" si="22"/>
        <v>0</v>
      </c>
      <c r="N126" s="513"/>
      <c r="O126" s="505">
        <f t="shared" si="24"/>
        <v>0</v>
      </c>
      <c r="P126" s="505">
        <f t="shared" si="25"/>
        <v>0</v>
      </c>
      <c r="Q126" s="244"/>
      <c r="R126" s="244"/>
      <c r="S126" s="244"/>
      <c r="T126" s="244"/>
      <c r="U126" s="244"/>
    </row>
    <row r="127" spans="2:21">
      <c r="B127" s="145" t="str">
        <f t="shared" si="20"/>
        <v/>
      </c>
      <c r="C127" s="496">
        <f>IF(D94="","-",+C126+1)</f>
        <v>2038</v>
      </c>
      <c r="D127" s="350">
        <f>IF(F126+SUM(E$100:E126)=D$93,F126,D$93-SUM(E$100:E126))</f>
        <v>1093397.3243974333</v>
      </c>
      <c r="E127" s="510">
        <f>IF(+J97&lt;F126,J97,D127)</f>
        <v>441529.28</v>
      </c>
      <c r="F127" s="511">
        <f t="shared" si="31"/>
        <v>651868.04439743329</v>
      </c>
      <c r="G127" s="511">
        <f t="shared" si="32"/>
        <v>872632.6843974333</v>
      </c>
      <c r="H127" s="646">
        <f t="shared" si="33"/>
        <v>544466.78818013519</v>
      </c>
      <c r="I127" s="573">
        <f t="shared" si="34"/>
        <v>544466.78818013519</v>
      </c>
      <c r="J127" s="505">
        <f t="shared" si="27"/>
        <v>0</v>
      </c>
      <c r="K127" s="505"/>
      <c r="L127" s="513"/>
      <c r="M127" s="505">
        <f t="shared" si="22"/>
        <v>0</v>
      </c>
      <c r="N127" s="513"/>
      <c r="O127" s="505">
        <f t="shared" si="24"/>
        <v>0</v>
      </c>
      <c r="P127" s="505">
        <f t="shared" si="25"/>
        <v>0</v>
      </c>
      <c r="Q127" s="244"/>
      <c r="R127" s="244"/>
      <c r="S127" s="244"/>
      <c r="T127" s="244"/>
      <c r="U127" s="244"/>
    </row>
    <row r="128" spans="2:21">
      <c r="B128" s="145" t="str">
        <f t="shared" si="20"/>
        <v/>
      </c>
      <c r="C128" s="496">
        <f>IF(D94="","-",+C127+1)</f>
        <v>2039</v>
      </c>
      <c r="D128" s="350">
        <f>IF(F127+SUM(E$100:E127)=D$93,F127,D$93-SUM(E$100:E127))</f>
        <v>651868.04439743329</v>
      </c>
      <c r="E128" s="510">
        <f>IF(+J97&lt;F127,J97,D128)</f>
        <v>441529.28</v>
      </c>
      <c r="F128" s="511">
        <f t="shared" si="31"/>
        <v>210338.76439743326</v>
      </c>
      <c r="G128" s="511">
        <f t="shared" si="32"/>
        <v>431103.40439743327</v>
      </c>
      <c r="H128" s="646">
        <f t="shared" si="33"/>
        <v>492383.10545267339</v>
      </c>
      <c r="I128" s="573">
        <f t="shared" si="34"/>
        <v>492383.10545267339</v>
      </c>
      <c r="J128" s="505">
        <f t="shared" si="27"/>
        <v>0</v>
      </c>
      <c r="K128" s="505"/>
      <c r="L128" s="513"/>
      <c r="M128" s="505">
        <f t="shared" si="22"/>
        <v>0</v>
      </c>
      <c r="N128" s="513"/>
      <c r="O128" s="505">
        <f t="shared" si="24"/>
        <v>0</v>
      </c>
      <c r="P128" s="505">
        <f t="shared" si="25"/>
        <v>0</v>
      </c>
      <c r="Q128" s="244"/>
      <c r="R128" s="244"/>
      <c r="S128" s="244"/>
      <c r="T128" s="244"/>
      <c r="U128" s="244"/>
    </row>
    <row r="129" spans="2:21">
      <c r="B129" s="145" t="str">
        <f t="shared" si="20"/>
        <v/>
      </c>
      <c r="C129" s="496">
        <f>IF(D94="","-",+C128+1)</f>
        <v>2040</v>
      </c>
      <c r="D129" s="350">
        <f>IF(F128+SUM(E$100:E128)=D$93,F128,D$93-SUM(E$100:E128))</f>
        <v>210338.76439743326</v>
      </c>
      <c r="E129" s="510">
        <f>IF(+J97&lt;F128,J97,D129)</f>
        <v>210338.76439743326</v>
      </c>
      <c r="F129" s="511">
        <f t="shared" si="31"/>
        <v>0</v>
      </c>
      <c r="G129" s="511">
        <f t="shared" si="32"/>
        <v>105169.38219871663</v>
      </c>
      <c r="H129" s="646">
        <f t="shared" si="33"/>
        <v>222744.75644190452</v>
      </c>
      <c r="I129" s="573">
        <f t="shared" si="34"/>
        <v>222744.75644190452</v>
      </c>
      <c r="J129" s="505">
        <f t="shared" si="27"/>
        <v>0</v>
      </c>
      <c r="K129" s="505"/>
      <c r="L129" s="513"/>
      <c r="M129" s="505">
        <f t="shared" si="22"/>
        <v>0</v>
      </c>
      <c r="N129" s="513"/>
      <c r="O129" s="505">
        <f t="shared" si="24"/>
        <v>0</v>
      </c>
      <c r="P129" s="505">
        <f t="shared" si="25"/>
        <v>0</v>
      </c>
      <c r="Q129" s="244"/>
      <c r="R129" s="244"/>
      <c r="S129" s="244"/>
      <c r="T129" s="244"/>
      <c r="U129" s="244"/>
    </row>
    <row r="130" spans="2:21">
      <c r="B130" s="145" t="str">
        <f t="shared" si="20"/>
        <v/>
      </c>
      <c r="C130" s="496">
        <f>IF(D94="","-",+C129+1)</f>
        <v>2041</v>
      </c>
      <c r="D130" s="350">
        <f>IF(F129+SUM(E$100:E129)=D$93,F129,D$93-SUM(E$100:E129))</f>
        <v>0</v>
      </c>
      <c r="E130" s="510">
        <f>IF(+J97&lt;F129,J97,D130)</f>
        <v>0</v>
      </c>
      <c r="F130" s="511">
        <f t="shared" si="31"/>
        <v>0</v>
      </c>
      <c r="G130" s="511">
        <f t="shared" si="32"/>
        <v>0</v>
      </c>
      <c r="H130" s="646">
        <f t="shared" si="33"/>
        <v>0</v>
      </c>
      <c r="I130" s="573">
        <f t="shared" si="34"/>
        <v>0</v>
      </c>
      <c r="J130" s="505">
        <f t="shared" si="27"/>
        <v>0</v>
      </c>
      <c r="K130" s="505"/>
      <c r="L130" s="513"/>
      <c r="M130" s="505">
        <f t="shared" si="22"/>
        <v>0</v>
      </c>
      <c r="N130" s="513"/>
      <c r="O130" s="505">
        <f t="shared" si="24"/>
        <v>0</v>
      </c>
      <c r="P130" s="505">
        <f t="shared" si="25"/>
        <v>0</v>
      </c>
      <c r="Q130" s="244"/>
      <c r="R130" s="244"/>
      <c r="S130" s="244"/>
      <c r="T130" s="244"/>
      <c r="U130" s="244"/>
    </row>
    <row r="131" spans="2:21">
      <c r="B131" s="145" t="str">
        <f t="shared" si="20"/>
        <v/>
      </c>
      <c r="C131" s="496">
        <f>IF(D94="","-",+C130+1)</f>
        <v>2042</v>
      </c>
      <c r="D131" s="350">
        <f>IF(F130+SUM(E$100:E130)=D$93,F130,D$93-SUM(E$100:E130))</f>
        <v>0</v>
      </c>
      <c r="E131" s="510">
        <f>IF(+J97&lt;F130,J97,D131)</f>
        <v>0</v>
      </c>
      <c r="F131" s="511">
        <f t="shared" si="31"/>
        <v>0</v>
      </c>
      <c r="G131" s="511">
        <f t="shared" si="32"/>
        <v>0</v>
      </c>
      <c r="H131" s="646">
        <f t="shared" si="33"/>
        <v>0</v>
      </c>
      <c r="I131" s="573">
        <f t="shared" si="34"/>
        <v>0</v>
      </c>
      <c r="J131" s="505">
        <f t="shared" si="27"/>
        <v>0</v>
      </c>
      <c r="K131" s="505"/>
      <c r="L131" s="513"/>
      <c r="M131" s="505">
        <f t="shared" si="22"/>
        <v>0</v>
      </c>
      <c r="N131" s="513"/>
      <c r="O131" s="505">
        <f t="shared" si="24"/>
        <v>0</v>
      </c>
      <c r="P131" s="505">
        <f t="shared" si="25"/>
        <v>0</v>
      </c>
      <c r="Q131" s="244"/>
      <c r="R131" s="244"/>
      <c r="S131" s="244"/>
      <c r="T131" s="244"/>
      <c r="U131" s="244"/>
    </row>
    <row r="132" spans="2:21">
      <c r="B132" s="145" t="str">
        <f t="shared" ref="B132:B155" si="35">IF(D132=F131,"","IU")</f>
        <v/>
      </c>
      <c r="C132" s="496">
        <f>IF(D94="","-",+C131+1)</f>
        <v>2043</v>
      </c>
      <c r="D132" s="350">
        <f>IF(F131+SUM(E$100:E131)=D$93,F131,D$93-SUM(E$100:E131))</f>
        <v>0</v>
      </c>
      <c r="E132" s="510">
        <f>IF(+J97&lt;F131,J97,D132)</f>
        <v>0</v>
      </c>
      <c r="F132" s="511">
        <f t="shared" si="31"/>
        <v>0</v>
      </c>
      <c r="G132" s="511">
        <f t="shared" ref="G132:G155" si="36">+(F132+D132)/2</f>
        <v>0</v>
      </c>
      <c r="H132" s="646">
        <f t="shared" si="33"/>
        <v>0</v>
      </c>
      <c r="I132" s="573">
        <f t="shared" ref="I132:I155" si="37">+J$96*G132+E132</f>
        <v>0</v>
      </c>
      <c r="J132" s="505">
        <f t="shared" ref="J132:J155" si="38">+I132-H132</f>
        <v>0</v>
      </c>
      <c r="K132" s="505"/>
      <c r="L132" s="513"/>
      <c r="M132" s="505">
        <f t="shared" ref="M132:M155" si="39">IF(L132&lt;&gt;0,+H132-L132,0)</f>
        <v>0</v>
      </c>
      <c r="N132" s="513"/>
      <c r="O132" s="505">
        <f t="shared" ref="O132:O155" si="40">IF(N132&lt;&gt;0,+I132-N132,0)</f>
        <v>0</v>
      </c>
      <c r="P132" s="505">
        <f t="shared" ref="P132:P155" si="41">+O132-M132</f>
        <v>0</v>
      </c>
      <c r="Q132" s="244"/>
      <c r="R132" s="244"/>
      <c r="S132" s="244"/>
      <c r="T132" s="244"/>
      <c r="U132" s="244"/>
    </row>
    <row r="133" spans="2:21">
      <c r="B133" s="145" t="str">
        <f t="shared" si="35"/>
        <v/>
      </c>
      <c r="C133" s="496">
        <f>IF(D94="","-",+C132+1)</f>
        <v>2044</v>
      </c>
      <c r="D133" s="350">
        <f>IF(F132+SUM(E$100:E132)=D$93,F132,D$93-SUM(E$100:E132))</f>
        <v>0</v>
      </c>
      <c r="E133" s="510">
        <f>IF(+J97&lt;F132,J97,D133)</f>
        <v>0</v>
      </c>
      <c r="F133" s="511">
        <f t="shared" ref="F133:F155" si="42">+D133-E133</f>
        <v>0</v>
      </c>
      <c r="G133" s="511">
        <f t="shared" si="36"/>
        <v>0</v>
      </c>
      <c r="H133" s="646">
        <f t="shared" si="33"/>
        <v>0</v>
      </c>
      <c r="I133" s="573">
        <f t="shared" si="37"/>
        <v>0</v>
      </c>
      <c r="J133" s="505">
        <f t="shared" si="38"/>
        <v>0</v>
      </c>
      <c r="K133" s="505"/>
      <c r="L133" s="513"/>
      <c r="M133" s="505">
        <f t="shared" si="39"/>
        <v>0</v>
      </c>
      <c r="N133" s="513"/>
      <c r="O133" s="505">
        <f t="shared" si="40"/>
        <v>0</v>
      </c>
      <c r="P133" s="505">
        <f t="shared" si="41"/>
        <v>0</v>
      </c>
      <c r="Q133" s="244"/>
      <c r="R133" s="244"/>
      <c r="S133" s="244"/>
      <c r="T133" s="244"/>
      <c r="U133" s="244"/>
    </row>
    <row r="134" spans="2:21">
      <c r="B134" s="145" t="str">
        <f t="shared" si="35"/>
        <v/>
      </c>
      <c r="C134" s="496">
        <f>IF(D94="","-",+C133+1)</f>
        <v>2045</v>
      </c>
      <c r="D134" s="350">
        <f>IF(F133+SUM(E$100:E133)=D$93,F133,D$93-SUM(E$100:E133))</f>
        <v>0</v>
      </c>
      <c r="E134" s="510">
        <f>IF(+J97&lt;F133,J97,D134)</f>
        <v>0</v>
      </c>
      <c r="F134" s="511">
        <f t="shared" si="42"/>
        <v>0</v>
      </c>
      <c r="G134" s="511">
        <f t="shared" si="36"/>
        <v>0</v>
      </c>
      <c r="H134" s="646">
        <f t="shared" si="33"/>
        <v>0</v>
      </c>
      <c r="I134" s="573">
        <f t="shared" si="37"/>
        <v>0</v>
      </c>
      <c r="J134" s="505">
        <f t="shared" si="38"/>
        <v>0</v>
      </c>
      <c r="K134" s="505"/>
      <c r="L134" s="513"/>
      <c r="M134" s="505">
        <f t="shared" si="39"/>
        <v>0</v>
      </c>
      <c r="N134" s="513"/>
      <c r="O134" s="505">
        <f t="shared" si="40"/>
        <v>0</v>
      </c>
      <c r="P134" s="505">
        <f t="shared" si="41"/>
        <v>0</v>
      </c>
      <c r="Q134" s="244"/>
      <c r="R134" s="244"/>
      <c r="S134" s="244"/>
      <c r="T134" s="244"/>
      <c r="U134" s="244"/>
    </row>
    <row r="135" spans="2:21">
      <c r="B135" s="145" t="str">
        <f t="shared" si="35"/>
        <v/>
      </c>
      <c r="C135" s="496">
        <f>IF(D94="","-",+C134+1)</f>
        <v>2046</v>
      </c>
      <c r="D135" s="350">
        <f>IF(F134+SUM(E$100:E134)=D$93,F134,D$93-SUM(E$100:E134))</f>
        <v>0</v>
      </c>
      <c r="E135" s="510">
        <f>IF(+J97&lt;F134,J97,D135)</f>
        <v>0</v>
      </c>
      <c r="F135" s="511">
        <f t="shared" si="42"/>
        <v>0</v>
      </c>
      <c r="G135" s="511">
        <f t="shared" si="36"/>
        <v>0</v>
      </c>
      <c r="H135" s="646">
        <f t="shared" si="33"/>
        <v>0</v>
      </c>
      <c r="I135" s="573">
        <f t="shared" si="37"/>
        <v>0</v>
      </c>
      <c r="J135" s="505">
        <f t="shared" si="38"/>
        <v>0</v>
      </c>
      <c r="K135" s="505"/>
      <c r="L135" s="513"/>
      <c r="M135" s="505">
        <f t="shared" si="39"/>
        <v>0</v>
      </c>
      <c r="N135" s="513"/>
      <c r="O135" s="505">
        <f t="shared" si="40"/>
        <v>0</v>
      </c>
      <c r="P135" s="505">
        <f t="shared" si="41"/>
        <v>0</v>
      </c>
      <c r="Q135" s="244"/>
      <c r="R135" s="244"/>
      <c r="S135" s="244"/>
      <c r="T135" s="244"/>
      <c r="U135" s="244"/>
    </row>
    <row r="136" spans="2:21">
      <c r="B136" s="145" t="str">
        <f t="shared" si="35"/>
        <v/>
      </c>
      <c r="C136" s="496">
        <f>IF(D94="","-",+C135+1)</f>
        <v>2047</v>
      </c>
      <c r="D136" s="350">
        <f>IF(F135+SUM(E$100:E135)=D$93,F135,D$93-SUM(E$100:E135))</f>
        <v>0</v>
      </c>
      <c r="E136" s="510">
        <f>IF(+J97&lt;F135,J97,D136)</f>
        <v>0</v>
      </c>
      <c r="F136" s="511">
        <f t="shared" si="42"/>
        <v>0</v>
      </c>
      <c r="G136" s="511">
        <f t="shared" si="36"/>
        <v>0</v>
      </c>
      <c r="H136" s="646">
        <f t="shared" si="33"/>
        <v>0</v>
      </c>
      <c r="I136" s="573">
        <f t="shared" si="37"/>
        <v>0</v>
      </c>
      <c r="J136" s="505">
        <f t="shared" si="38"/>
        <v>0</v>
      </c>
      <c r="K136" s="505"/>
      <c r="L136" s="513"/>
      <c r="M136" s="505">
        <f t="shared" si="39"/>
        <v>0</v>
      </c>
      <c r="N136" s="513"/>
      <c r="O136" s="505">
        <f t="shared" si="40"/>
        <v>0</v>
      </c>
      <c r="P136" s="505">
        <f t="shared" si="41"/>
        <v>0</v>
      </c>
      <c r="Q136" s="244"/>
      <c r="R136" s="244"/>
      <c r="S136" s="244"/>
      <c r="T136" s="244"/>
      <c r="U136" s="244"/>
    </row>
    <row r="137" spans="2:21">
      <c r="B137" s="145" t="str">
        <f t="shared" si="35"/>
        <v/>
      </c>
      <c r="C137" s="496">
        <f>IF(D94="","-",+C136+1)</f>
        <v>2048</v>
      </c>
      <c r="D137" s="350">
        <f>IF(F136+SUM(E$100:E136)=D$93,F136,D$93-SUM(E$100:E136))</f>
        <v>0</v>
      </c>
      <c r="E137" s="510">
        <f>IF(+J97&lt;F136,J97,D137)</f>
        <v>0</v>
      </c>
      <c r="F137" s="511">
        <f t="shared" si="42"/>
        <v>0</v>
      </c>
      <c r="G137" s="511">
        <f t="shared" si="36"/>
        <v>0</v>
      </c>
      <c r="H137" s="646">
        <f t="shared" si="33"/>
        <v>0</v>
      </c>
      <c r="I137" s="573">
        <f t="shared" si="37"/>
        <v>0</v>
      </c>
      <c r="J137" s="505">
        <f t="shared" si="38"/>
        <v>0</v>
      </c>
      <c r="K137" s="505"/>
      <c r="L137" s="513"/>
      <c r="M137" s="505">
        <f t="shared" si="39"/>
        <v>0</v>
      </c>
      <c r="N137" s="513"/>
      <c r="O137" s="505">
        <f t="shared" si="40"/>
        <v>0</v>
      </c>
      <c r="P137" s="505">
        <f t="shared" si="41"/>
        <v>0</v>
      </c>
      <c r="Q137" s="244"/>
      <c r="R137" s="244"/>
      <c r="S137" s="244"/>
      <c r="T137" s="244"/>
      <c r="U137" s="244"/>
    </row>
    <row r="138" spans="2:21">
      <c r="B138" s="145" t="str">
        <f t="shared" si="35"/>
        <v/>
      </c>
      <c r="C138" s="496">
        <f>IF(D94="","-",+C137+1)</f>
        <v>2049</v>
      </c>
      <c r="D138" s="350">
        <f>IF(F137+SUM(E$100:E137)=D$93,F137,D$93-SUM(E$100:E137))</f>
        <v>0</v>
      </c>
      <c r="E138" s="510">
        <f>IF(+J97&lt;F137,J97,D138)</f>
        <v>0</v>
      </c>
      <c r="F138" s="511">
        <f t="shared" si="42"/>
        <v>0</v>
      </c>
      <c r="G138" s="511">
        <f t="shared" si="36"/>
        <v>0</v>
      </c>
      <c r="H138" s="646">
        <f t="shared" si="33"/>
        <v>0</v>
      </c>
      <c r="I138" s="573">
        <f t="shared" si="37"/>
        <v>0</v>
      </c>
      <c r="J138" s="505">
        <f t="shared" si="38"/>
        <v>0</v>
      </c>
      <c r="K138" s="505"/>
      <c r="L138" s="513"/>
      <c r="M138" s="505">
        <f t="shared" si="39"/>
        <v>0</v>
      </c>
      <c r="N138" s="513"/>
      <c r="O138" s="505">
        <f t="shared" si="40"/>
        <v>0</v>
      </c>
      <c r="P138" s="505">
        <f t="shared" si="41"/>
        <v>0</v>
      </c>
      <c r="Q138" s="244"/>
      <c r="R138" s="244"/>
      <c r="S138" s="244"/>
      <c r="T138" s="244"/>
      <c r="U138" s="244"/>
    </row>
    <row r="139" spans="2:21">
      <c r="B139" s="145" t="str">
        <f t="shared" si="35"/>
        <v/>
      </c>
      <c r="C139" s="496">
        <f>IF(D94="","-",+C138+1)</f>
        <v>2050</v>
      </c>
      <c r="D139" s="350">
        <f>IF(F138+SUM(E$100:E138)=D$93,F138,D$93-SUM(E$100:E138))</f>
        <v>0</v>
      </c>
      <c r="E139" s="510">
        <f>IF(+J97&lt;F138,J97,D139)</f>
        <v>0</v>
      </c>
      <c r="F139" s="511">
        <f t="shared" si="42"/>
        <v>0</v>
      </c>
      <c r="G139" s="511">
        <f t="shared" si="36"/>
        <v>0</v>
      </c>
      <c r="H139" s="646">
        <f t="shared" si="33"/>
        <v>0</v>
      </c>
      <c r="I139" s="573">
        <f t="shared" si="37"/>
        <v>0</v>
      </c>
      <c r="J139" s="505">
        <f t="shared" si="38"/>
        <v>0</v>
      </c>
      <c r="K139" s="505"/>
      <c r="L139" s="513"/>
      <c r="M139" s="505">
        <f t="shared" si="39"/>
        <v>0</v>
      </c>
      <c r="N139" s="513"/>
      <c r="O139" s="505">
        <f t="shared" si="40"/>
        <v>0</v>
      </c>
      <c r="P139" s="505">
        <f t="shared" si="41"/>
        <v>0</v>
      </c>
      <c r="Q139" s="244"/>
      <c r="R139" s="244"/>
      <c r="S139" s="244"/>
      <c r="T139" s="244"/>
      <c r="U139" s="244"/>
    </row>
    <row r="140" spans="2:21">
      <c r="B140" s="145" t="str">
        <f t="shared" si="35"/>
        <v/>
      </c>
      <c r="C140" s="496">
        <f>IF(D94="","-",+C139+1)</f>
        <v>2051</v>
      </c>
      <c r="D140" s="350">
        <f>IF(F139+SUM(E$100:E139)=D$93,F139,D$93-SUM(E$100:E139))</f>
        <v>0</v>
      </c>
      <c r="E140" s="510">
        <f>IF(+J97&lt;F139,J97,D140)</f>
        <v>0</v>
      </c>
      <c r="F140" s="511">
        <f t="shared" si="42"/>
        <v>0</v>
      </c>
      <c r="G140" s="511">
        <f t="shared" si="36"/>
        <v>0</v>
      </c>
      <c r="H140" s="646">
        <f t="shared" si="33"/>
        <v>0</v>
      </c>
      <c r="I140" s="573">
        <f t="shared" si="37"/>
        <v>0</v>
      </c>
      <c r="J140" s="505">
        <f t="shared" si="38"/>
        <v>0</v>
      </c>
      <c r="K140" s="505"/>
      <c r="L140" s="513"/>
      <c r="M140" s="505">
        <f t="shared" si="39"/>
        <v>0</v>
      </c>
      <c r="N140" s="513"/>
      <c r="O140" s="505">
        <f t="shared" si="40"/>
        <v>0</v>
      </c>
      <c r="P140" s="505">
        <f t="shared" si="41"/>
        <v>0</v>
      </c>
      <c r="Q140" s="244"/>
      <c r="R140" s="244"/>
      <c r="S140" s="244"/>
      <c r="T140" s="244"/>
      <c r="U140" s="244"/>
    </row>
    <row r="141" spans="2:21">
      <c r="B141" s="145" t="str">
        <f t="shared" si="35"/>
        <v/>
      </c>
      <c r="C141" s="496">
        <f>IF(D94="","-",+C140+1)</f>
        <v>2052</v>
      </c>
      <c r="D141" s="350">
        <f>IF(F140+SUM(E$100:E140)=D$93,F140,D$93-SUM(E$100:E140))</f>
        <v>0</v>
      </c>
      <c r="E141" s="510">
        <f>IF(+J97&lt;F140,J97,D141)</f>
        <v>0</v>
      </c>
      <c r="F141" s="511">
        <f t="shared" si="42"/>
        <v>0</v>
      </c>
      <c r="G141" s="511">
        <f t="shared" si="36"/>
        <v>0</v>
      </c>
      <c r="H141" s="646">
        <f t="shared" si="33"/>
        <v>0</v>
      </c>
      <c r="I141" s="573">
        <f t="shared" si="37"/>
        <v>0</v>
      </c>
      <c r="J141" s="505">
        <f t="shared" si="38"/>
        <v>0</v>
      </c>
      <c r="K141" s="505"/>
      <c r="L141" s="513"/>
      <c r="M141" s="505">
        <f t="shared" si="39"/>
        <v>0</v>
      </c>
      <c r="N141" s="513"/>
      <c r="O141" s="505">
        <f t="shared" si="40"/>
        <v>0</v>
      </c>
      <c r="P141" s="505">
        <f t="shared" si="41"/>
        <v>0</v>
      </c>
      <c r="Q141" s="244"/>
      <c r="R141" s="244"/>
      <c r="S141" s="244"/>
      <c r="T141" s="244"/>
      <c r="U141" s="244"/>
    </row>
    <row r="142" spans="2:21">
      <c r="B142" s="145" t="str">
        <f t="shared" si="35"/>
        <v/>
      </c>
      <c r="C142" s="496">
        <f>IF(D94="","-",+C141+1)</f>
        <v>2053</v>
      </c>
      <c r="D142" s="350">
        <f>IF(F141+SUM(E$100:E141)=D$93,F141,D$93-SUM(E$100:E141))</f>
        <v>0</v>
      </c>
      <c r="E142" s="510">
        <f>IF(+J97&lt;F141,J97,D142)</f>
        <v>0</v>
      </c>
      <c r="F142" s="511">
        <f t="shared" si="42"/>
        <v>0</v>
      </c>
      <c r="G142" s="511">
        <f t="shared" si="36"/>
        <v>0</v>
      </c>
      <c r="H142" s="646">
        <f t="shared" si="33"/>
        <v>0</v>
      </c>
      <c r="I142" s="573">
        <f t="shared" si="37"/>
        <v>0</v>
      </c>
      <c r="J142" s="505">
        <f t="shared" si="38"/>
        <v>0</v>
      </c>
      <c r="K142" s="505"/>
      <c r="L142" s="513"/>
      <c r="M142" s="505">
        <f t="shared" si="39"/>
        <v>0</v>
      </c>
      <c r="N142" s="513"/>
      <c r="O142" s="505">
        <f t="shared" si="40"/>
        <v>0</v>
      </c>
      <c r="P142" s="505">
        <f t="shared" si="41"/>
        <v>0</v>
      </c>
      <c r="Q142" s="244"/>
      <c r="R142" s="244"/>
      <c r="S142" s="244"/>
      <c r="T142" s="244"/>
      <c r="U142" s="244"/>
    </row>
    <row r="143" spans="2:21">
      <c r="B143" s="145" t="str">
        <f t="shared" si="35"/>
        <v/>
      </c>
      <c r="C143" s="496">
        <f>IF(D94="","-",+C142+1)</f>
        <v>2054</v>
      </c>
      <c r="D143" s="350">
        <f>IF(F142+SUM(E$100:E142)=D$93,F142,D$93-SUM(E$100:E142))</f>
        <v>0</v>
      </c>
      <c r="E143" s="510">
        <f>IF(+J97&lt;F142,J97,D143)</f>
        <v>0</v>
      </c>
      <c r="F143" s="511">
        <f t="shared" si="42"/>
        <v>0</v>
      </c>
      <c r="G143" s="511">
        <f t="shared" si="36"/>
        <v>0</v>
      </c>
      <c r="H143" s="646">
        <f t="shared" si="33"/>
        <v>0</v>
      </c>
      <c r="I143" s="573">
        <f t="shared" si="37"/>
        <v>0</v>
      </c>
      <c r="J143" s="505">
        <f t="shared" si="38"/>
        <v>0</v>
      </c>
      <c r="K143" s="505"/>
      <c r="L143" s="513"/>
      <c r="M143" s="505">
        <f t="shared" si="39"/>
        <v>0</v>
      </c>
      <c r="N143" s="513"/>
      <c r="O143" s="505">
        <f t="shared" si="40"/>
        <v>0</v>
      </c>
      <c r="P143" s="505">
        <f t="shared" si="41"/>
        <v>0</v>
      </c>
      <c r="Q143" s="244"/>
      <c r="R143" s="244"/>
      <c r="S143" s="244"/>
      <c r="T143" s="244"/>
      <c r="U143" s="244"/>
    </row>
    <row r="144" spans="2:21">
      <c r="B144" s="145" t="str">
        <f t="shared" si="35"/>
        <v/>
      </c>
      <c r="C144" s="496">
        <f>IF(D94="","-",+C143+1)</f>
        <v>2055</v>
      </c>
      <c r="D144" s="350">
        <f>IF(F143+SUM(E$100:E143)=D$93,F143,D$93-SUM(E$100:E143))</f>
        <v>0</v>
      </c>
      <c r="E144" s="510">
        <f>IF(+J97&lt;F143,J97,D144)</f>
        <v>0</v>
      </c>
      <c r="F144" s="511">
        <f t="shared" si="42"/>
        <v>0</v>
      </c>
      <c r="G144" s="511">
        <f t="shared" si="36"/>
        <v>0</v>
      </c>
      <c r="H144" s="646">
        <f t="shared" si="33"/>
        <v>0</v>
      </c>
      <c r="I144" s="573">
        <f t="shared" si="37"/>
        <v>0</v>
      </c>
      <c r="J144" s="505">
        <f t="shared" si="38"/>
        <v>0</v>
      </c>
      <c r="K144" s="505"/>
      <c r="L144" s="513"/>
      <c r="M144" s="505">
        <f t="shared" si="39"/>
        <v>0</v>
      </c>
      <c r="N144" s="513"/>
      <c r="O144" s="505">
        <f t="shared" si="40"/>
        <v>0</v>
      </c>
      <c r="P144" s="505">
        <f t="shared" si="41"/>
        <v>0</v>
      </c>
      <c r="Q144" s="244"/>
      <c r="R144" s="244"/>
      <c r="S144" s="244"/>
      <c r="T144" s="244"/>
      <c r="U144" s="244"/>
    </row>
    <row r="145" spans="2:21">
      <c r="B145" s="145" t="str">
        <f t="shared" si="35"/>
        <v/>
      </c>
      <c r="C145" s="496">
        <f>IF(D94="","-",+C144+1)</f>
        <v>2056</v>
      </c>
      <c r="D145" s="350">
        <f>IF(F144+SUM(E$100:E144)=D$93,F144,D$93-SUM(E$100:E144))</f>
        <v>0</v>
      </c>
      <c r="E145" s="510">
        <f>IF(+J97&lt;F144,J97,D145)</f>
        <v>0</v>
      </c>
      <c r="F145" s="511">
        <f t="shared" si="42"/>
        <v>0</v>
      </c>
      <c r="G145" s="511">
        <f t="shared" si="36"/>
        <v>0</v>
      </c>
      <c r="H145" s="646">
        <f t="shared" si="33"/>
        <v>0</v>
      </c>
      <c r="I145" s="573">
        <f t="shared" si="37"/>
        <v>0</v>
      </c>
      <c r="J145" s="505">
        <f t="shared" si="38"/>
        <v>0</v>
      </c>
      <c r="K145" s="505"/>
      <c r="L145" s="513"/>
      <c r="M145" s="505">
        <f t="shared" si="39"/>
        <v>0</v>
      </c>
      <c r="N145" s="513"/>
      <c r="O145" s="505">
        <f t="shared" si="40"/>
        <v>0</v>
      </c>
      <c r="P145" s="505">
        <f t="shared" si="41"/>
        <v>0</v>
      </c>
      <c r="Q145" s="244"/>
      <c r="R145" s="244"/>
      <c r="S145" s="244"/>
      <c r="T145" s="244"/>
      <c r="U145" s="244"/>
    </row>
    <row r="146" spans="2:21">
      <c r="B146" s="145" t="str">
        <f t="shared" si="35"/>
        <v/>
      </c>
      <c r="C146" s="496">
        <f>IF(D94="","-",+C145+1)</f>
        <v>2057</v>
      </c>
      <c r="D146" s="350">
        <f>IF(F145+SUM(E$100:E145)=D$93,F145,D$93-SUM(E$100:E145))</f>
        <v>0</v>
      </c>
      <c r="E146" s="510">
        <f>IF(+J97&lt;F145,J97,D146)</f>
        <v>0</v>
      </c>
      <c r="F146" s="511">
        <f t="shared" si="42"/>
        <v>0</v>
      </c>
      <c r="G146" s="511">
        <f t="shared" si="36"/>
        <v>0</v>
      </c>
      <c r="H146" s="646">
        <f t="shared" si="33"/>
        <v>0</v>
      </c>
      <c r="I146" s="573">
        <f t="shared" si="37"/>
        <v>0</v>
      </c>
      <c r="J146" s="505">
        <f t="shared" si="38"/>
        <v>0</v>
      </c>
      <c r="K146" s="505"/>
      <c r="L146" s="513"/>
      <c r="M146" s="505">
        <f t="shared" si="39"/>
        <v>0</v>
      </c>
      <c r="N146" s="513"/>
      <c r="O146" s="505">
        <f t="shared" si="40"/>
        <v>0</v>
      </c>
      <c r="P146" s="505">
        <f t="shared" si="41"/>
        <v>0</v>
      </c>
      <c r="Q146" s="244"/>
      <c r="R146" s="244"/>
      <c r="S146" s="244"/>
      <c r="T146" s="244"/>
      <c r="U146" s="244"/>
    </row>
    <row r="147" spans="2:21">
      <c r="B147" s="145" t="str">
        <f t="shared" si="35"/>
        <v/>
      </c>
      <c r="C147" s="496">
        <f>IF(D94="","-",+C146+1)</f>
        <v>2058</v>
      </c>
      <c r="D147" s="350">
        <f>IF(F146+SUM(E$100:E146)=D$93,F146,D$93-SUM(E$100:E146))</f>
        <v>0</v>
      </c>
      <c r="E147" s="510">
        <f>IF(+J97&lt;F146,J97,D147)</f>
        <v>0</v>
      </c>
      <c r="F147" s="511">
        <f t="shared" si="42"/>
        <v>0</v>
      </c>
      <c r="G147" s="511">
        <f t="shared" si="36"/>
        <v>0</v>
      </c>
      <c r="H147" s="646">
        <f t="shared" si="33"/>
        <v>0</v>
      </c>
      <c r="I147" s="573">
        <f t="shared" si="37"/>
        <v>0</v>
      </c>
      <c r="J147" s="505">
        <f t="shared" si="38"/>
        <v>0</v>
      </c>
      <c r="K147" s="505"/>
      <c r="L147" s="513"/>
      <c r="M147" s="505">
        <f t="shared" si="39"/>
        <v>0</v>
      </c>
      <c r="N147" s="513"/>
      <c r="O147" s="505">
        <f t="shared" si="40"/>
        <v>0</v>
      </c>
      <c r="P147" s="505">
        <f t="shared" si="41"/>
        <v>0</v>
      </c>
      <c r="Q147" s="244"/>
      <c r="R147" s="244"/>
      <c r="S147" s="244"/>
      <c r="T147" s="244"/>
      <c r="U147" s="244"/>
    </row>
    <row r="148" spans="2:21">
      <c r="B148" s="145" t="str">
        <f t="shared" si="35"/>
        <v/>
      </c>
      <c r="C148" s="496">
        <f>IF(D94="","-",+C147+1)</f>
        <v>2059</v>
      </c>
      <c r="D148" s="350">
        <f>IF(F147+SUM(E$100:E147)=D$93,F147,D$93-SUM(E$100:E147))</f>
        <v>0</v>
      </c>
      <c r="E148" s="510">
        <f>IF(+J97&lt;F147,J97,D148)</f>
        <v>0</v>
      </c>
      <c r="F148" s="511">
        <f t="shared" si="42"/>
        <v>0</v>
      </c>
      <c r="G148" s="511">
        <f t="shared" si="36"/>
        <v>0</v>
      </c>
      <c r="H148" s="646">
        <f t="shared" si="33"/>
        <v>0</v>
      </c>
      <c r="I148" s="573">
        <f t="shared" si="37"/>
        <v>0</v>
      </c>
      <c r="J148" s="505">
        <f t="shared" si="38"/>
        <v>0</v>
      </c>
      <c r="K148" s="505"/>
      <c r="L148" s="513"/>
      <c r="M148" s="505">
        <f t="shared" si="39"/>
        <v>0</v>
      </c>
      <c r="N148" s="513"/>
      <c r="O148" s="505">
        <f t="shared" si="40"/>
        <v>0</v>
      </c>
      <c r="P148" s="505">
        <f t="shared" si="41"/>
        <v>0</v>
      </c>
      <c r="Q148" s="244"/>
      <c r="R148" s="244"/>
      <c r="S148" s="244"/>
      <c r="T148" s="244"/>
      <c r="U148" s="244"/>
    </row>
    <row r="149" spans="2:21">
      <c r="B149" s="145" t="str">
        <f t="shared" si="35"/>
        <v/>
      </c>
      <c r="C149" s="496">
        <f>IF(D94="","-",+C148+1)</f>
        <v>2060</v>
      </c>
      <c r="D149" s="350">
        <f>IF(F148+SUM(E$100:E148)=D$93,F148,D$93-SUM(E$100:E148))</f>
        <v>0</v>
      </c>
      <c r="E149" s="510">
        <f>IF(+J97&lt;F148,J97,D149)</f>
        <v>0</v>
      </c>
      <c r="F149" s="511">
        <f t="shared" si="42"/>
        <v>0</v>
      </c>
      <c r="G149" s="511">
        <f t="shared" si="36"/>
        <v>0</v>
      </c>
      <c r="H149" s="646">
        <f t="shared" si="33"/>
        <v>0</v>
      </c>
      <c r="I149" s="573">
        <f t="shared" si="37"/>
        <v>0</v>
      </c>
      <c r="J149" s="505">
        <f t="shared" si="38"/>
        <v>0</v>
      </c>
      <c r="K149" s="505"/>
      <c r="L149" s="513"/>
      <c r="M149" s="505">
        <f t="shared" si="39"/>
        <v>0</v>
      </c>
      <c r="N149" s="513"/>
      <c r="O149" s="505">
        <f t="shared" si="40"/>
        <v>0</v>
      </c>
      <c r="P149" s="505">
        <f t="shared" si="41"/>
        <v>0</v>
      </c>
      <c r="Q149" s="244"/>
      <c r="R149" s="244"/>
      <c r="S149" s="244"/>
      <c r="T149" s="244"/>
      <c r="U149" s="244"/>
    </row>
    <row r="150" spans="2:21">
      <c r="B150" s="145" t="str">
        <f t="shared" si="35"/>
        <v/>
      </c>
      <c r="C150" s="496">
        <f>IF(D94="","-",+C149+1)</f>
        <v>2061</v>
      </c>
      <c r="D150" s="350">
        <f>IF(F149+SUM(E$100:E149)=D$93,F149,D$93-SUM(E$100:E149))</f>
        <v>0</v>
      </c>
      <c r="E150" s="510">
        <f>IF(+J97&lt;F149,J97,D150)</f>
        <v>0</v>
      </c>
      <c r="F150" s="511">
        <f t="shared" si="42"/>
        <v>0</v>
      </c>
      <c r="G150" s="511">
        <f t="shared" si="36"/>
        <v>0</v>
      </c>
      <c r="H150" s="646">
        <f t="shared" si="33"/>
        <v>0</v>
      </c>
      <c r="I150" s="573">
        <f t="shared" si="37"/>
        <v>0</v>
      </c>
      <c r="J150" s="505">
        <f t="shared" si="38"/>
        <v>0</v>
      </c>
      <c r="K150" s="505"/>
      <c r="L150" s="513"/>
      <c r="M150" s="505">
        <f t="shared" si="39"/>
        <v>0</v>
      </c>
      <c r="N150" s="513"/>
      <c r="O150" s="505">
        <f t="shared" si="40"/>
        <v>0</v>
      </c>
      <c r="P150" s="505">
        <f t="shared" si="41"/>
        <v>0</v>
      </c>
      <c r="Q150" s="244"/>
      <c r="R150" s="244"/>
      <c r="S150" s="244"/>
      <c r="T150" s="244"/>
      <c r="U150" s="244"/>
    </row>
    <row r="151" spans="2:21">
      <c r="B151" s="145" t="str">
        <f t="shared" si="35"/>
        <v/>
      </c>
      <c r="C151" s="496">
        <f>IF(D94="","-",+C150+1)</f>
        <v>2062</v>
      </c>
      <c r="D151" s="350">
        <f>IF(F150+SUM(E$100:E150)=D$93,F150,D$93-SUM(E$100:E150))</f>
        <v>0</v>
      </c>
      <c r="E151" s="510">
        <f>IF(+J97&lt;F150,J97,D151)</f>
        <v>0</v>
      </c>
      <c r="F151" s="511">
        <f t="shared" si="42"/>
        <v>0</v>
      </c>
      <c r="G151" s="511">
        <f t="shared" si="36"/>
        <v>0</v>
      </c>
      <c r="H151" s="646">
        <f t="shared" si="33"/>
        <v>0</v>
      </c>
      <c r="I151" s="573">
        <f t="shared" si="37"/>
        <v>0</v>
      </c>
      <c r="J151" s="505">
        <f t="shared" si="38"/>
        <v>0</v>
      </c>
      <c r="K151" s="505"/>
      <c r="L151" s="513"/>
      <c r="M151" s="505">
        <f t="shared" si="39"/>
        <v>0</v>
      </c>
      <c r="N151" s="513"/>
      <c r="O151" s="505">
        <f t="shared" si="40"/>
        <v>0</v>
      </c>
      <c r="P151" s="505">
        <f t="shared" si="41"/>
        <v>0</v>
      </c>
      <c r="Q151" s="244"/>
      <c r="R151" s="244"/>
      <c r="S151" s="244"/>
      <c r="T151" s="244"/>
      <c r="U151" s="244"/>
    </row>
    <row r="152" spans="2:21">
      <c r="B152" s="145" t="str">
        <f t="shared" si="35"/>
        <v/>
      </c>
      <c r="C152" s="496">
        <f>IF(D94="","-",+C151+1)</f>
        <v>2063</v>
      </c>
      <c r="D152" s="350">
        <f>IF(F151+SUM(E$100:E151)=D$93,F151,D$93-SUM(E$100:E151))</f>
        <v>0</v>
      </c>
      <c r="E152" s="510">
        <f>IF(+J97&lt;F151,J97,D152)</f>
        <v>0</v>
      </c>
      <c r="F152" s="511">
        <f t="shared" si="42"/>
        <v>0</v>
      </c>
      <c r="G152" s="511">
        <f t="shared" si="36"/>
        <v>0</v>
      </c>
      <c r="H152" s="646">
        <f t="shared" si="33"/>
        <v>0</v>
      </c>
      <c r="I152" s="573">
        <f t="shared" si="37"/>
        <v>0</v>
      </c>
      <c r="J152" s="505">
        <f t="shared" si="38"/>
        <v>0</v>
      </c>
      <c r="K152" s="505"/>
      <c r="L152" s="513"/>
      <c r="M152" s="505">
        <f t="shared" si="39"/>
        <v>0</v>
      </c>
      <c r="N152" s="513"/>
      <c r="O152" s="505">
        <f t="shared" si="40"/>
        <v>0</v>
      </c>
      <c r="P152" s="505">
        <f t="shared" si="41"/>
        <v>0</v>
      </c>
      <c r="Q152" s="244"/>
      <c r="R152" s="244"/>
      <c r="S152" s="244"/>
      <c r="T152" s="244"/>
      <c r="U152" s="244"/>
    </row>
    <row r="153" spans="2:21">
      <c r="B153" s="145" t="str">
        <f t="shared" si="35"/>
        <v/>
      </c>
      <c r="C153" s="496">
        <f>IF(D94="","-",+C152+1)</f>
        <v>2064</v>
      </c>
      <c r="D153" s="350">
        <f>IF(F152+SUM(E$100:E152)=D$93,F152,D$93-SUM(E$100:E152))</f>
        <v>0</v>
      </c>
      <c r="E153" s="510">
        <f>IF(+J97&lt;F152,J97,D153)</f>
        <v>0</v>
      </c>
      <c r="F153" s="511">
        <f t="shared" si="42"/>
        <v>0</v>
      </c>
      <c r="G153" s="511">
        <f t="shared" si="36"/>
        <v>0</v>
      </c>
      <c r="H153" s="646">
        <f t="shared" si="33"/>
        <v>0</v>
      </c>
      <c r="I153" s="573">
        <f t="shared" si="37"/>
        <v>0</v>
      </c>
      <c r="J153" s="505">
        <f t="shared" si="38"/>
        <v>0</v>
      </c>
      <c r="K153" s="505"/>
      <c r="L153" s="513"/>
      <c r="M153" s="505">
        <f t="shared" si="39"/>
        <v>0</v>
      </c>
      <c r="N153" s="513"/>
      <c r="O153" s="505">
        <f t="shared" si="40"/>
        <v>0</v>
      </c>
      <c r="P153" s="505">
        <f t="shared" si="41"/>
        <v>0</v>
      </c>
      <c r="Q153" s="244"/>
      <c r="R153" s="244"/>
      <c r="S153" s="244"/>
      <c r="T153" s="244"/>
      <c r="U153" s="244"/>
    </row>
    <row r="154" spans="2:21">
      <c r="B154" s="145" t="str">
        <f t="shared" si="35"/>
        <v/>
      </c>
      <c r="C154" s="496">
        <f>IF(D94="","-",+C153+1)</f>
        <v>2065</v>
      </c>
      <c r="D154" s="350">
        <f>IF(F153+SUM(E$100:E153)=D$93,F153,D$93-SUM(E$100:E153))</f>
        <v>0</v>
      </c>
      <c r="E154" s="510">
        <f>IF(+J97&lt;F153,J97,D154)</f>
        <v>0</v>
      </c>
      <c r="F154" s="511">
        <f t="shared" si="42"/>
        <v>0</v>
      </c>
      <c r="G154" s="511">
        <f t="shared" si="36"/>
        <v>0</v>
      </c>
      <c r="H154" s="646">
        <f t="shared" si="33"/>
        <v>0</v>
      </c>
      <c r="I154" s="573">
        <f t="shared" si="37"/>
        <v>0</v>
      </c>
      <c r="J154" s="505">
        <f t="shared" si="38"/>
        <v>0</v>
      </c>
      <c r="K154" s="505"/>
      <c r="L154" s="513"/>
      <c r="M154" s="505">
        <f t="shared" si="39"/>
        <v>0</v>
      </c>
      <c r="N154" s="513"/>
      <c r="O154" s="505">
        <f t="shared" si="40"/>
        <v>0</v>
      </c>
      <c r="P154" s="505">
        <f t="shared" si="41"/>
        <v>0</v>
      </c>
      <c r="Q154" s="244"/>
      <c r="R154" s="244"/>
      <c r="S154" s="244"/>
      <c r="T154" s="244"/>
      <c r="U154" s="244"/>
    </row>
    <row r="155" spans="2:21" ht="13.5" thickBot="1">
      <c r="B155" s="145" t="str">
        <f t="shared" si="35"/>
        <v/>
      </c>
      <c r="C155" s="525">
        <f>IF(D94="","-",+C154+1)</f>
        <v>2066</v>
      </c>
      <c r="D155" s="528">
        <f>IF(F154+SUM(E$100:E154)=D$93,F154,D$93-SUM(E$100:E154))</f>
        <v>0</v>
      </c>
      <c r="E155" s="527">
        <f>IF(+J97&lt;F154,J97,D155)</f>
        <v>0</v>
      </c>
      <c r="F155" s="528">
        <f t="shared" si="42"/>
        <v>0</v>
      </c>
      <c r="G155" s="528">
        <f t="shared" si="36"/>
        <v>0</v>
      </c>
      <c r="H155" s="646">
        <f t="shared" si="33"/>
        <v>0</v>
      </c>
      <c r="I155" s="574">
        <f t="shared" si="37"/>
        <v>0</v>
      </c>
      <c r="J155" s="532">
        <f t="shared" si="38"/>
        <v>0</v>
      </c>
      <c r="K155" s="505"/>
      <c r="L155" s="531"/>
      <c r="M155" s="532">
        <f t="shared" si="39"/>
        <v>0</v>
      </c>
      <c r="N155" s="531"/>
      <c r="O155" s="532">
        <f t="shared" si="40"/>
        <v>0</v>
      </c>
      <c r="P155" s="532">
        <f t="shared" si="41"/>
        <v>0</v>
      </c>
      <c r="Q155" s="244"/>
      <c r="R155" s="244"/>
      <c r="S155" s="244"/>
      <c r="T155" s="244"/>
      <c r="U155" s="244"/>
    </row>
    <row r="156" spans="2:21">
      <c r="C156" s="350" t="s">
        <v>75</v>
      </c>
      <c r="D156" s="295"/>
      <c r="E156" s="295">
        <f>SUM(E100:E155)</f>
        <v>11038231.999999996</v>
      </c>
      <c r="F156" s="295"/>
      <c r="G156" s="295"/>
      <c r="H156" s="295">
        <f>SUM(H100:H155)</f>
        <v>31276241.351333462</v>
      </c>
      <c r="I156" s="295">
        <f>SUM(I100:I155)</f>
        <v>31276241.351333462</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4" priority="1" stopIfTrue="1" operator="equal">
      <formula>$I$10</formula>
    </cfRule>
  </conditionalFormatting>
  <conditionalFormatting sqref="C100:C155">
    <cfRule type="cellIs" dxfId="43"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3">
    <tabColor theme="1"/>
  </sheetPr>
  <dimension ref="A1:U163"/>
  <sheetViews>
    <sheetView topLeftCell="A7" zoomScaleNormal="100" zoomScaleSheetLayoutView="90"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5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0</v>
      </c>
      <c r="P5" s="244"/>
      <c r="R5" s="244"/>
      <c r="S5" s="244"/>
      <c r="T5" s="244"/>
      <c r="U5" s="244"/>
    </row>
    <row r="6" spans="1:21" ht="15.75">
      <c r="C6" s="236"/>
      <c r="D6" s="293"/>
      <c r="E6" s="244"/>
      <c r="F6" s="244"/>
      <c r="G6" s="244"/>
      <c r="H6" s="450"/>
      <c r="I6" s="450"/>
      <c r="J6" s="451"/>
      <c r="K6" s="452" t="s">
        <v>243</v>
      </c>
      <c r="L6" s="453"/>
      <c r="M6" s="279"/>
      <c r="N6" s="454">
        <f>VLOOKUP(I10,C17:I73,6)</f>
        <v>0</v>
      </c>
      <c r="O6" s="244"/>
      <c r="P6" s="244"/>
      <c r="R6" s="244"/>
      <c r="S6" s="244"/>
      <c r="T6" s="244"/>
      <c r="U6" s="244"/>
    </row>
    <row r="7" spans="1:21" ht="13.5" thickBot="1">
      <c r="C7" s="455" t="s">
        <v>46</v>
      </c>
      <c r="D7" s="456" t="s">
        <v>211</v>
      </c>
      <c r="E7" s="244"/>
      <c r="F7" s="244"/>
      <c r="G7" s="244"/>
      <c r="H7" s="326"/>
      <c r="I7" s="326"/>
      <c r="J7" s="295"/>
      <c r="K7" s="457" t="s">
        <v>47</v>
      </c>
      <c r="L7" s="458"/>
      <c r="M7" s="458"/>
      <c r="N7" s="459">
        <f>+N6-N5</f>
        <v>0</v>
      </c>
      <c r="O7" s="244"/>
      <c r="P7" s="244"/>
      <c r="R7" s="244"/>
      <c r="S7" s="244"/>
      <c r="T7" s="244"/>
      <c r="U7" s="244"/>
    </row>
    <row r="8" spans="1:21" ht="13.5" thickBot="1">
      <c r="C8" s="460"/>
      <c r="D8" s="605" t="s">
        <v>209</v>
      </c>
      <c r="E8" s="462"/>
      <c r="F8" s="462"/>
      <c r="G8" s="462"/>
      <c r="H8" s="462"/>
      <c r="I8" s="462"/>
      <c r="J8" s="463"/>
      <c r="K8" s="462"/>
      <c r="L8" s="462"/>
      <c r="M8" s="462"/>
      <c r="N8" s="462"/>
      <c r="O8" s="463"/>
      <c r="P8" s="249"/>
      <c r="R8" s="244"/>
      <c r="S8" s="244"/>
      <c r="T8" s="244"/>
      <c r="U8" s="244"/>
    </row>
    <row r="9" spans="1:21" ht="13.5" thickBot="1">
      <c r="A9" s="152"/>
      <c r="C9" s="464" t="s">
        <v>48</v>
      </c>
      <c r="D9" s="465" t="s">
        <v>204</v>
      </c>
      <c r="E9" s="466"/>
      <c r="F9" s="466"/>
      <c r="G9" s="466"/>
      <c r="H9" s="466"/>
      <c r="I9" s="467"/>
      <c r="J9" s="468"/>
      <c r="O9" s="469"/>
      <c r="P9" s="279"/>
      <c r="R9" s="244"/>
      <c r="S9" s="244"/>
      <c r="T9" s="244"/>
      <c r="U9" s="244"/>
    </row>
    <row r="10" spans="1:21">
      <c r="C10" s="470" t="s">
        <v>49</v>
      </c>
      <c r="D10" s="471">
        <v>0</v>
      </c>
      <c r="E10" s="300" t="s">
        <v>50</v>
      </c>
      <c r="F10" s="469"/>
      <c r="G10" s="409"/>
      <c r="H10" s="409"/>
      <c r="I10" s="472">
        <f>+'OKT.WS.F.BPU.ATRR.Projected'!R100</f>
        <v>2020</v>
      </c>
      <c r="J10" s="468"/>
      <c r="K10" s="295" t="s">
        <v>51</v>
      </c>
      <c r="O10" s="279"/>
      <c r="P10" s="279"/>
      <c r="R10" s="244"/>
      <c r="S10" s="244"/>
      <c r="T10" s="244"/>
      <c r="U10" s="244"/>
    </row>
    <row r="11" spans="1:21">
      <c r="C11" s="473" t="s">
        <v>52</v>
      </c>
      <c r="D11" s="474">
        <v>2012</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4</v>
      </c>
      <c r="E12" s="473" t="s">
        <v>55</v>
      </c>
      <c r="F12" s="409"/>
      <c r="G12" s="221"/>
      <c r="H12" s="221"/>
      <c r="I12" s="477">
        <f>'OKT.WS.F.BPU.ATRR.Projected'!$F$78</f>
        <v>0.1064171487591708</v>
      </c>
      <c r="J12" s="579"/>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0</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49" si="0">IF(D17=F16,"","IU")</f>
        <v>IU</v>
      </c>
      <c r="C17" s="581">
        <f>IF(D11= "","-",D11)</f>
        <v>2012</v>
      </c>
      <c r="D17" s="497">
        <v>3951600</v>
      </c>
      <c r="E17" s="498">
        <v>45573.039110189922</v>
      </c>
      <c r="F17" s="497">
        <v>3906026.9608898102</v>
      </c>
      <c r="G17" s="499">
        <v>423078.95453720703</v>
      </c>
      <c r="H17" s="500">
        <v>423078.95453720703</v>
      </c>
      <c r="I17" s="585">
        <v>0</v>
      </c>
      <c r="J17" s="501"/>
      <c r="K17" s="502">
        <f>G17</f>
        <v>423078.95453720703</v>
      </c>
      <c r="L17" s="503">
        <f t="shared" ref="L17:L49" si="1">IF(K17&lt;&gt;0,+G17-K17,0)</f>
        <v>0</v>
      </c>
      <c r="M17" s="502">
        <f>H17</f>
        <v>423078.95453720703</v>
      </c>
      <c r="N17" s="504">
        <f t="shared" ref="N17:N49" si="2">IF(M17&lt;&gt;0,+H17-M17,0)</f>
        <v>0</v>
      </c>
      <c r="O17" s="505">
        <f t="shared" ref="O17:O49" si="3">+N17-L17</f>
        <v>0</v>
      </c>
      <c r="P17" s="279"/>
      <c r="R17" s="244"/>
      <c r="S17" s="244"/>
      <c r="T17" s="244"/>
      <c r="U17" s="244"/>
    </row>
    <row r="18" spans="2:21">
      <c r="B18" s="145" t="str">
        <f t="shared" si="0"/>
        <v>IU</v>
      </c>
      <c r="C18" s="496">
        <f>IF(D$11="","-",+C17+1)</f>
        <v>2013</v>
      </c>
      <c r="D18" s="509"/>
      <c r="E18" s="510">
        <f t="shared" ref="E18:E32" si="4">IF(+I$14&lt;F17,I$14,D18)</f>
        <v>0</v>
      </c>
      <c r="F18" s="511">
        <f t="shared" ref="F18:F49" si="5">+D18-E18</f>
        <v>0</v>
      </c>
      <c r="G18" s="512">
        <f t="shared" ref="G18:G73" si="6">(D18+F18)/2*I$12+E18</f>
        <v>0</v>
      </c>
      <c r="H18" s="478">
        <f t="shared" ref="H18:H73" si="7">+(D18+F18)/2*I$13+E18</f>
        <v>0</v>
      </c>
      <c r="I18" s="501">
        <f t="shared" ref="I18:I49" si="8">H18-G18</f>
        <v>0</v>
      </c>
      <c r="J18" s="501"/>
      <c r="K18" s="513"/>
      <c r="L18" s="505">
        <f t="shared" si="1"/>
        <v>0</v>
      </c>
      <c r="M18" s="513"/>
      <c r="N18" s="505">
        <f t="shared" si="2"/>
        <v>0</v>
      </c>
      <c r="O18" s="505">
        <f t="shared" si="3"/>
        <v>0</v>
      </c>
      <c r="P18" s="279"/>
      <c r="R18" s="244"/>
      <c r="S18" s="244"/>
      <c r="T18" s="244"/>
      <c r="U18" s="244"/>
    </row>
    <row r="19" spans="2:21">
      <c r="B19" s="145" t="str">
        <f t="shared" si="0"/>
        <v/>
      </c>
      <c r="C19" s="496">
        <f>IF(D$11="","-",+C18+1)</f>
        <v>2014</v>
      </c>
      <c r="D19" s="509"/>
      <c r="E19" s="510">
        <f t="shared" si="4"/>
        <v>0</v>
      </c>
      <c r="F19" s="511">
        <f t="shared" si="5"/>
        <v>0</v>
      </c>
      <c r="G19" s="512">
        <f t="shared" si="6"/>
        <v>0</v>
      </c>
      <c r="H19" s="478">
        <f t="shared" si="7"/>
        <v>0</v>
      </c>
      <c r="I19" s="501">
        <f t="shared" si="8"/>
        <v>0</v>
      </c>
      <c r="J19" s="501"/>
      <c r="K19" s="513"/>
      <c r="L19" s="505">
        <f t="shared" si="1"/>
        <v>0</v>
      </c>
      <c r="M19" s="513"/>
      <c r="N19" s="505">
        <f t="shared" si="2"/>
        <v>0</v>
      </c>
      <c r="O19" s="505">
        <f t="shared" si="3"/>
        <v>0</v>
      </c>
      <c r="P19" s="279"/>
      <c r="R19" s="244"/>
      <c r="S19" s="244"/>
      <c r="T19" s="244"/>
      <c r="U19" s="244"/>
    </row>
    <row r="20" spans="2:21">
      <c r="B20" s="145" t="str">
        <f t="shared" si="0"/>
        <v/>
      </c>
      <c r="C20" s="496">
        <f>IF(D$11="","-",+C19+1)</f>
        <v>2015</v>
      </c>
      <c r="D20" s="509"/>
      <c r="E20" s="510">
        <f t="shared" si="4"/>
        <v>0</v>
      </c>
      <c r="F20" s="511">
        <f t="shared" si="5"/>
        <v>0</v>
      </c>
      <c r="G20" s="512">
        <f t="shared" si="6"/>
        <v>0</v>
      </c>
      <c r="H20" s="478">
        <f t="shared" si="7"/>
        <v>0</v>
      </c>
      <c r="I20" s="501">
        <f t="shared" si="8"/>
        <v>0</v>
      </c>
      <c r="J20" s="501"/>
      <c r="K20" s="513"/>
      <c r="L20" s="505">
        <f t="shared" si="1"/>
        <v>0</v>
      </c>
      <c r="M20" s="513"/>
      <c r="N20" s="505">
        <f t="shared" si="2"/>
        <v>0</v>
      </c>
      <c r="O20" s="505">
        <f t="shared" si="3"/>
        <v>0</v>
      </c>
      <c r="P20" s="279"/>
      <c r="R20" s="244"/>
      <c r="S20" s="244"/>
      <c r="T20" s="244"/>
      <c r="U20" s="244"/>
    </row>
    <row r="21" spans="2:21">
      <c r="B21" s="145" t="str">
        <f t="shared" si="0"/>
        <v/>
      </c>
      <c r="C21" s="496">
        <f>IF(D12="","-",+C20+1)</f>
        <v>2016</v>
      </c>
      <c r="D21" s="509"/>
      <c r="E21" s="510">
        <f t="shared" si="4"/>
        <v>0</v>
      </c>
      <c r="F21" s="511">
        <f t="shared" si="5"/>
        <v>0</v>
      </c>
      <c r="G21" s="512">
        <f t="shared" si="6"/>
        <v>0</v>
      </c>
      <c r="H21" s="478">
        <f t="shared" si="7"/>
        <v>0</v>
      </c>
      <c r="I21" s="501">
        <f t="shared" si="8"/>
        <v>0</v>
      </c>
      <c r="J21" s="501"/>
      <c r="K21" s="513"/>
      <c r="L21" s="505">
        <f t="shared" si="1"/>
        <v>0</v>
      </c>
      <c r="M21" s="513"/>
      <c r="N21" s="505">
        <f t="shared" si="2"/>
        <v>0</v>
      </c>
      <c r="O21" s="505">
        <f t="shared" si="3"/>
        <v>0</v>
      </c>
      <c r="P21" s="279"/>
      <c r="R21" s="244"/>
      <c r="S21" s="244"/>
      <c r="T21" s="244"/>
      <c r="U21" s="244"/>
    </row>
    <row r="22" spans="2:21">
      <c r="B22" s="145" t="str">
        <f t="shared" si="0"/>
        <v/>
      </c>
      <c r="C22" s="496">
        <f>IF(D$11="","-",+C21+1)</f>
        <v>2017</v>
      </c>
      <c r="D22" s="509"/>
      <c r="E22" s="510">
        <f t="shared" si="4"/>
        <v>0</v>
      </c>
      <c r="F22" s="511">
        <f t="shared" si="5"/>
        <v>0</v>
      </c>
      <c r="G22" s="512">
        <f t="shared" si="6"/>
        <v>0</v>
      </c>
      <c r="H22" s="478">
        <f t="shared" si="7"/>
        <v>0</v>
      </c>
      <c r="I22" s="501">
        <f t="shared" si="8"/>
        <v>0</v>
      </c>
      <c r="J22" s="501"/>
      <c r="K22" s="513"/>
      <c r="L22" s="505">
        <f t="shared" si="1"/>
        <v>0</v>
      </c>
      <c r="M22" s="513"/>
      <c r="N22" s="505">
        <f t="shared" si="2"/>
        <v>0</v>
      </c>
      <c r="O22" s="505">
        <f t="shared" si="3"/>
        <v>0</v>
      </c>
      <c r="P22" s="279"/>
      <c r="R22" s="244"/>
      <c r="S22" s="244"/>
      <c r="T22" s="244"/>
      <c r="U22" s="244"/>
    </row>
    <row r="23" spans="2:21">
      <c r="B23" s="145" t="str">
        <f t="shared" si="0"/>
        <v/>
      </c>
      <c r="C23" s="496">
        <f>IF(D$11="","-",+C22+1)</f>
        <v>2018</v>
      </c>
      <c r="D23" s="509"/>
      <c r="E23" s="510">
        <f t="shared" si="4"/>
        <v>0</v>
      </c>
      <c r="F23" s="511">
        <f t="shared" si="5"/>
        <v>0</v>
      </c>
      <c r="G23" s="512">
        <f t="shared" si="6"/>
        <v>0</v>
      </c>
      <c r="H23" s="478">
        <f t="shared" si="7"/>
        <v>0</v>
      </c>
      <c r="I23" s="501">
        <f t="shared" si="8"/>
        <v>0</v>
      </c>
      <c r="J23" s="501"/>
      <c r="K23" s="513"/>
      <c r="L23" s="505">
        <f t="shared" si="1"/>
        <v>0</v>
      </c>
      <c r="M23" s="513"/>
      <c r="N23" s="505">
        <f t="shared" si="2"/>
        <v>0</v>
      </c>
      <c r="O23" s="505">
        <f t="shared" si="3"/>
        <v>0</v>
      </c>
      <c r="P23" s="279"/>
      <c r="R23" s="244"/>
      <c r="S23" s="244"/>
      <c r="T23" s="244"/>
      <c r="U23" s="244"/>
    </row>
    <row r="24" spans="2:21">
      <c r="B24" s="145" t="str">
        <f t="shared" si="0"/>
        <v/>
      </c>
      <c r="C24" s="496">
        <f>IF(D$11="","-",+C23+1)</f>
        <v>2019</v>
      </c>
      <c r="D24" s="509"/>
      <c r="E24" s="510">
        <f t="shared" si="4"/>
        <v>0</v>
      </c>
      <c r="F24" s="511">
        <f t="shared" si="5"/>
        <v>0</v>
      </c>
      <c r="G24" s="512">
        <f t="shared" si="6"/>
        <v>0</v>
      </c>
      <c r="H24" s="478">
        <f t="shared" si="7"/>
        <v>0</v>
      </c>
      <c r="I24" s="501">
        <f t="shared" si="8"/>
        <v>0</v>
      </c>
      <c r="J24" s="501"/>
      <c r="K24" s="513"/>
      <c r="L24" s="505">
        <f t="shared" si="1"/>
        <v>0</v>
      </c>
      <c r="M24" s="513"/>
      <c r="N24" s="505">
        <f t="shared" si="2"/>
        <v>0</v>
      </c>
      <c r="O24" s="505">
        <f t="shared" si="3"/>
        <v>0</v>
      </c>
      <c r="P24" s="279"/>
      <c r="R24" s="244"/>
      <c r="S24" s="244"/>
      <c r="T24" s="244"/>
      <c r="U24" s="244"/>
    </row>
    <row r="25" spans="2:21">
      <c r="B25" s="145" t="str">
        <f t="shared" si="0"/>
        <v/>
      </c>
      <c r="C25" s="496">
        <f>IF(D$11="","-",+C24+1)</f>
        <v>2020</v>
      </c>
      <c r="D25" s="509"/>
      <c r="E25" s="510">
        <f t="shared" si="4"/>
        <v>0</v>
      </c>
      <c r="F25" s="511">
        <f t="shared" si="5"/>
        <v>0</v>
      </c>
      <c r="G25" s="512">
        <f t="shared" si="6"/>
        <v>0</v>
      </c>
      <c r="H25" s="478">
        <f t="shared" si="7"/>
        <v>0</v>
      </c>
      <c r="I25" s="501">
        <f t="shared" si="8"/>
        <v>0</v>
      </c>
      <c r="J25" s="501"/>
      <c r="K25" s="513"/>
      <c r="L25" s="505">
        <f t="shared" si="1"/>
        <v>0</v>
      </c>
      <c r="M25" s="513"/>
      <c r="N25" s="505">
        <f t="shared" si="2"/>
        <v>0</v>
      </c>
      <c r="O25" s="505">
        <f t="shared" si="3"/>
        <v>0</v>
      </c>
      <c r="P25" s="279"/>
      <c r="R25" s="244"/>
      <c r="S25" s="244"/>
      <c r="T25" s="244"/>
      <c r="U25" s="244"/>
    </row>
    <row r="26" spans="2:21">
      <c r="B26" s="145" t="str">
        <f t="shared" si="0"/>
        <v/>
      </c>
      <c r="C26" s="496">
        <f>IF(D$11="","-",+C25+1)</f>
        <v>2021</v>
      </c>
      <c r="D26" s="509"/>
      <c r="E26" s="510">
        <f t="shared" si="4"/>
        <v>0</v>
      </c>
      <c r="F26" s="511">
        <f t="shared" si="5"/>
        <v>0</v>
      </c>
      <c r="G26" s="512">
        <f t="shared" si="6"/>
        <v>0</v>
      </c>
      <c r="H26" s="478">
        <f t="shared" si="7"/>
        <v>0</v>
      </c>
      <c r="I26" s="501">
        <f t="shared" si="8"/>
        <v>0</v>
      </c>
      <c r="J26" s="501"/>
      <c r="K26" s="513"/>
      <c r="L26" s="505">
        <f t="shared" si="1"/>
        <v>0</v>
      </c>
      <c r="M26" s="513"/>
      <c r="N26" s="505">
        <f t="shared" si="2"/>
        <v>0</v>
      </c>
      <c r="O26" s="505">
        <f t="shared" si="3"/>
        <v>0</v>
      </c>
      <c r="P26" s="279"/>
      <c r="R26" s="244"/>
      <c r="S26" s="244"/>
      <c r="T26" s="244"/>
      <c r="U26" s="244"/>
    </row>
    <row r="27" spans="2:21">
      <c r="B27" s="145" t="str">
        <f t="shared" si="0"/>
        <v/>
      </c>
      <c r="C27" s="496">
        <f t="shared" ref="C27:C73" si="9">IF(D$11="","-",+C26+1)</f>
        <v>2022</v>
      </c>
      <c r="D27" s="509"/>
      <c r="E27" s="510">
        <f t="shared" si="4"/>
        <v>0</v>
      </c>
      <c r="F27" s="511">
        <f t="shared" si="5"/>
        <v>0</v>
      </c>
      <c r="G27" s="512">
        <f t="shared" si="6"/>
        <v>0</v>
      </c>
      <c r="H27" s="478">
        <f t="shared" si="7"/>
        <v>0</v>
      </c>
      <c r="I27" s="501">
        <f t="shared" si="8"/>
        <v>0</v>
      </c>
      <c r="J27" s="501"/>
      <c r="K27" s="513"/>
      <c r="L27" s="505">
        <f t="shared" si="1"/>
        <v>0</v>
      </c>
      <c r="M27" s="513"/>
      <c r="N27" s="505">
        <f t="shared" si="2"/>
        <v>0</v>
      </c>
      <c r="O27" s="505">
        <f t="shared" si="3"/>
        <v>0</v>
      </c>
      <c r="P27" s="279"/>
      <c r="R27" s="244"/>
      <c r="S27" s="244"/>
      <c r="T27" s="244"/>
      <c r="U27" s="244"/>
    </row>
    <row r="28" spans="2:21">
      <c r="B28" s="145" t="str">
        <f t="shared" si="0"/>
        <v/>
      </c>
      <c r="C28" s="496">
        <f t="shared" si="9"/>
        <v>2023</v>
      </c>
      <c r="D28" s="509"/>
      <c r="E28" s="510">
        <f t="shared" si="4"/>
        <v>0</v>
      </c>
      <c r="F28" s="511">
        <f t="shared" si="5"/>
        <v>0</v>
      </c>
      <c r="G28" s="512">
        <f t="shared" si="6"/>
        <v>0</v>
      </c>
      <c r="H28" s="478">
        <f t="shared" si="7"/>
        <v>0</v>
      </c>
      <c r="I28" s="501">
        <f t="shared" si="8"/>
        <v>0</v>
      </c>
      <c r="J28" s="501"/>
      <c r="K28" s="513"/>
      <c r="L28" s="505">
        <f t="shared" si="1"/>
        <v>0</v>
      </c>
      <c r="M28" s="513"/>
      <c r="N28" s="505">
        <f t="shared" si="2"/>
        <v>0</v>
      </c>
      <c r="O28" s="505">
        <f t="shared" si="3"/>
        <v>0</v>
      </c>
      <c r="P28" s="279"/>
      <c r="R28" s="244"/>
      <c r="S28" s="244"/>
      <c r="T28" s="244"/>
      <c r="U28" s="244"/>
    </row>
    <row r="29" spans="2:21">
      <c r="B29" s="145" t="str">
        <f t="shared" si="0"/>
        <v/>
      </c>
      <c r="C29" s="496">
        <f t="shared" si="9"/>
        <v>2024</v>
      </c>
      <c r="D29" s="509"/>
      <c r="E29" s="510">
        <f t="shared" si="4"/>
        <v>0</v>
      </c>
      <c r="F29" s="511">
        <f t="shared" si="5"/>
        <v>0</v>
      </c>
      <c r="G29" s="512">
        <f t="shared" si="6"/>
        <v>0</v>
      </c>
      <c r="H29" s="478">
        <f t="shared" si="7"/>
        <v>0</v>
      </c>
      <c r="I29" s="501">
        <f t="shared" si="8"/>
        <v>0</v>
      </c>
      <c r="J29" s="501"/>
      <c r="K29" s="513"/>
      <c r="L29" s="505">
        <f t="shared" si="1"/>
        <v>0</v>
      </c>
      <c r="M29" s="513"/>
      <c r="N29" s="505">
        <f t="shared" si="2"/>
        <v>0</v>
      </c>
      <c r="O29" s="505">
        <f t="shared" si="3"/>
        <v>0</v>
      </c>
      <c r="P29" s="279"/>
      <c r="R29" s="244"/>
      <c r="S29" s="244"/>
      <c r="T29" s="244"/>
      <c r="U29" s="244"/>
    </row>
    <row r="30" spans="2:21">
      <c r="B30" s="145" t="str">
        <f t="shared" si="0"/>
        <v/>
      </c>
      <c r="C30" s="496">
        <f t="shared" si="9"/>
        <v>2025</v>
      </c>
      <c r="D30" s="509"/>
      <c r="E30" s="510">
        <f t="shared" si="4"/>
        <v>0</v>
      </c>
      <c r="F30" s="511">
        <f t="shared" si="5"/>
        <v>0</v>
      </c>
      <c r="G30" s="512">
        <f t="shared" si="6"/>
        <v>0</v>
      </c>
      <c r="H30" s="478">
        <f t="shared" si="7"/>
        <v>0</v>
      </c>
      <c r="I30" s="501">
        <f t="shared" si="8"/>
        <v>0</v>
      </c>
      <c r="J30" s="501"/>
      <c r="K30" s="513"/>
      <c r="L30" s="505">
        <f t="shared" si="1"/>
        <v>0</v>
      </c>
      <c r="M30" s="513"/>
      <c r="N30" s="505">
        <f t="shared" si="2"/>
        <v>0</v>
      </c>
      <c r="O30" s="505">
        <f t="shared" si="3"/>
        <v>0</v>
      </c>
      <c r="P30" s="279"/>
      <c r="R30" s="244"/>
      <c r="S30" s="244"/>
      <c r="T30" s="244"/>
      <c r="U30" s="244"/>
    </row>
    <row r="31" spans="2:21">
      <c r="B31" s="145" t="str">
        <f t="shared" si="0"/>
        <v/>
      </c>
      <c r="C31" s="496">
        <f t="shared" si="9"/>
        <v>2026</v>
      </c>
      <c r="D31" s="509"/>
      <c r="E31" s="510">
        <f t="shared" si="4"/>
        <v>0</v>
      </c>
      <c r="F31" s="511">
        <f t="shared" si="5"/>
        <v>0</v>
      </c>
      <c r="G31" s="512">
        <f t="shared" si="6"/>
        <v>0</v>
      </c>
      <c r="H31" s="478">
        <f t="shared" si="7"/>
        <v>0</v>
      </c>
      <c r="I31" s="501">
        <f t="shared" si="8"/>
        <v>0</v>
      </c>
      <c r="J31" s="501"/>
      <c r="K31" s="513"/>
      <c r="L31" s="505">
        <f t="shared" si="1"/>
        <v>0</v>
      </c>
      <c r="M31" s="513"/>
      <c r="N31" s="505">
        <f t="shared" si="2"/>
        <v>0</v>
      </c>
      <c r="O31" s="505">
        <f t="shared" si="3"/>
        <v>0</v>
      </c>
      <c r="P31" s="279"/>
      <c r="Q31" s="221"/>
      <c r="R31" s="279"/>
      <c r="S31" s="279"/>
      <c r="T31" s="279"/>
      <c r="U31" s="244"/>
    </row>
    <row r="32" spans="2:21">
      <c r="B32" s="145" t="str">
        <f t="shared" si="0"/>
        <v/>
      </c>
      <c r="C32" s="496">
        <f t="shared" si="9"/>
        <v>2027</v>
      </c>
      <c r="D32" s="509"/>
      <c r="E32" s="510">
        <f t="shared" si="4"/>
        <v>0</v>
      </c>
      <c r="F32" s="511">
        <f>+D32-E32</f>
        <v>0</v>
      </c>
      <c r="G32" s="512">
        <f t="shared" si="6"/>
        <v>0</v>
      </c>
      <c r="H32" s="478">
        <f t="shared" si="7"/>
        <v>0</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 t="shared" si="9"/>
        <v>2028</v>
      </c>
      <c r="D33" s="509"/>
      <c r="E33" s="510">
        <f>IF(+I$14&lt;F31,I$14,D33)</f>
        <v>0</v>
      </c>
      <c r="F33" s="511">
        <f t="shared" si="5"/>
        <v>0</v>
      </c>
      <c r="G33" s="512">
        <f t="shared" si="6"/>
        <v>0</v>
      </c>
      <c r="H33" s="478">
        <f t="shared" si="7"/>
        <v>0</v>
      </c>
      <c r="I33" s="501">
        <f t="shared" si="8"/>
        <v>0</v>
      </c>
      <c r="J33" s="501"/>
      <c r="K33" s="513"/>
      <c r="L33" s="505">
        <f t="shared" si="1"/>
        <v>0</v>
      </c>
      <c r="M33" s="513"/>
      <c r="N33" s="505">
        <f t="shared" si="2"/>
        <v>0</v>
      </c>
      <c r="O33" s="505">
        <f t="shared" si="3"/>
        <v>0</v>
      </c>
      <c r="P33" s="279"/>
      <c r="R33" s="244"/>
      <c r="S33" s="244"/>
      <c r="T33" s="244"/>
      <c r="U33" s="244"/>
    </row>
    <row r="34" spans="2:21">
      <c r="B34" s="145" t="str">
        <f t="shared" si="0"/>
        <v/>
      </c>
      <c r="C34" s="496">
        <f t="shared" si="9"/>
        <v>2029</v>
      </c>
      <c r="D34" s="509"/>
      <c r="E34" s="510">
        <f t="shared" ref="E34:E73" si="10">IF(+I$14&lt;F33,I$14,D34)</f>
        <v>0</v>
      </c>
      <c r="F34" s="511">
        <f t="shared" si="5"/>
        <v>0</v>
      </c>
      <c r="G34" s="512">
        <f t="shared" si="6"/>
        <v>0</v>
      </c>
      <c r="H34" s="478">
        <f t="shared" si="7"/>
        <v>0</v>
      </c>
      <c r="I34" s="501">
        <f t="shared" si="8"/>
        <v>0</v>
      </c>
      <c r="J34" s="501"/>
      <c r="K34" s="513"/>
      <c r="L34" s="505">
        <f t="shared" si="1"/>
        <v>0</v>
      </c>
      <c r="M34" s="513"/>
      <c r="N34" s="505">
        <f t="shared" si="2"/>
        <v>0</v>
      </c>
      <c r="O34" s="505">
        <f t="shared" si="3"/>
        <v>0</v>
      </c>
      <c r="P34" s="523"/>
      <c r="Q34" s="217"/>
      <c r="R34" s="523"/>
      <c r="S34" s="523"/>
      <c r="T34" s="523"/>
      <c r="U34" s="244"/>
    </row>
    <row r="35" spans="2:21">
      <c r="B35" s="145" t="str">
        <f t="shared" si="0"/>
        <v/>
      </c>
      <c r="C35" s="496">
        <f t="shared" si="9"/>
        <v>2030</v>
      </c>
      <c r="D35" s="509"/>
      <c r="E35" s="510">
        <f t="shared" si="10"/>
        <v>0</v>
      </c>
      <c r="F35" s="511">
        <f t="shared" si="5"/>
        <v>0</v>
      </c>
      <c r="G35" s="512">
        <f t="shared" si="6"/>
        <v>0</v>
      </c>
      <c r="H35" s="478">
        <f t="shared" si="7"/>
        <v>0</v>
      </c>
      <c r="I35" s="501">
        <f t="shared" si="8"/>
        <v>0</v>
      </c>
      <c r="J35" s="501"/>
      <c r="K35" s="513"/>
      <c r="L35" s="505">
        <f t="shared" si="1"/>
        <v>0</v>
      </c>
      <c r="M35" s="513"/>
      <c r="N35" s="505">
        <f t="shared" si="2"/>
        <v>0</v>
      </c>
      <c r="O35" s="505">
        <f t="shared" si="3"/>
        <v>0</v>
      </c>
      <c r="P35" s="279"/>
      <c r="R35" s="244"/>
      <c r="S35" s="244"/>
      <c r="T35" s="244"/>
      <c r="U35" s="244"/>
    </row>
    <row r="36" spans="2:21">
      <c r="B36" s="145" t="str">
        <f t="shared" si="0"/>
        <v/>
      </c>
      <c r="C36" s="496">
        <f t="shared" si="9"/>
        <v>2031</v>
      </c>
      <c r="D36" s="509"/>
      <c r="E36" s="510">
        <f t="shared" si="10"/>
        <v>0</v>
      </c>
      <c r="F36" s="511">
        <f t="shared" si="5"/>
        <v>0</v>
      </c>
      <c r="G36" s="512">
        <f t="shared" si="6"/>
        <v>0</v>
      </c>
      <c r="H36" s="478">
        <f t="shared" si="7"/>
        <v>0</v>
      </c>
      <c r="I36" s="501">
        <f t="shared" si="8"/>
        <v>0</v>
      </c>
      <c r="J36" s="501"/>
      <c r="K36" s="513"/>
      <c r="L36" s="505">
        <f t="shared" si="1"/>
        <v>0</v>
      </c>
      <c r="M36" s="513"/>
      <c r="N36" s="505">
        <f t="shared" si="2"/>
        <v>0</v>
      </c>
      <c r="O36" s="505">
        <f t="shared" si="3"/>
        <v>0</v>
      </c>
      <c r="P36" s="279"/>
      <c r="R36" s="244"/>
      <c r="S36" s="244"/>
      <c r="T36" s="244"/>
      <c r="U36" s="244"/>
    </row>
    <row r="37" spans="2:21">
      <c r="B37" s="145" t="str">
        <f t="shared" si="0"/>
        <v/>
      </c>
      <c r="C37" s="496">
        <f t="shared" si="9"/>
        <v>2032</v>
      </c>
      <c r="D37" s="509"/>
      <c r="E37" s="510">
        <f t="shared" si="10"/>
        <v>0</v>
      </c>
      <c r="F37" s="511">
        <f t="shared" si="5"/>
        <v>0</v>
      </c>
      <c r="G37" s="512">
        <f t="shared" si="6"/>
        <v>0</v>
      </c>
      <c r="H37" s="478">
        <f t="shared" si="7"/>
        <v>0</v>
      </c>
      <c r="I37" s="501">
        <f t="shared" si="8"/>
        <v>0</v>
      </c>
      <c r="J37" s="501"/>
      <c r="K37" s="513"/>
      <c r="L37" s="505">
        <f t="shared" si="1"/>
        <v>0</v>
      </c>
      <c r="M37" s="513"/>
      <c r="N37" s="505">
        <f t="shared" si="2"/>
        <v>0</v>
      </c>
      <c r="O37" s="505">
        <f t="shared" si="3"/>
        <v>0</v>
      </c>
      <c r="P37" s="279"/>
      <c r="R37" s="244"/>
      <c r="S37" s="244"/>
      <c r="T37" s="244"/>
      <c r="U37" s="244"/>
    </row>
    <row r="38" spans="2:21">
      <c r="B38" s="145" t="str">
        <f t="shared" si="0"/>
        <v/>
      </c>
      <c r="C38" s="496">
        <f t="shared" si="9"/>
        <v>2033</v>
      </c>
      <c r="D38" s="509"/>
      <c r="E38" s="510">
        <f t="shared" si="10"/>
        <v>0</v>
      </c>
      <c r="F38" s="511">
        <f t="shared" si="5"/>
        <v>0</v>
      </c>
      <c r="G38" s="512">
        <f t="shared" si="6"/>
        <v>0</v>
      </c>
      <c r="H38" s="478">
        <f t="shared" si="7"/>
        <v>0</v>
      </c>
      <c r="I38" s="501">
        <f t="shared" si="8"/>
        <v>0</v>
      </c>
      <c r="J38" s="501"/>
      <c r="K38" s="513"/>
      <c r="L38" s="505">
        <f t="shared" si="1"/>
        <v>0</v>
      </c>
      <c r="M38" s="513"/>
      <c r="N38" s="505">
        <f t="shared" si="2"/>
        <v>0</v>
      </c>
      <c r="O38" s="505">
        <f t="shared" si="3"/>
        <v>0</v>
      </c>
      <c r="P38" s="279"/>
      <c r="R38" s="244"/>
      <c r="S38" s="244"/>
      <c r="T38" s="244"/>
      <c r="U38" s="244"/>
    </row>
    <row r="39" spans="2:21">
      <c r="B39" s="145" t="str">
        <f t="shared" si="0"/>
        <v/>
      </c>
      <c r="C39" s="496">
        <f t="shared" si="9"/>
        <v>2034</v>
      </c>
      <c r="D39" s="509"/>
      <c r="E39" s="510">
        <f t="shared" si="10"/>
        <v>0</v>
      </c>
      <c r="F39" s="511">
        <f t="shared" si="5"/>
        <v>0</v>
      </c>
      <c r="G39" s="512">
        <f t="shared" si="6"/>
        <v>0</v>
      </c>
      <c r="H39" s="478">
        <f t="shared" si="7"/>
        <v>0</v>
      </c>
      <c r="I39" s="501">
        <f t="shared" si="8"/>
        <v>0</v>
      </c>
      <c r="J39" s="501"/>
      <c r="K39" s="513"/>
      <c r="L39" s="505">
        <f t="shared" si="1"/>
        <v>0</v>
      </c>
      <c r="M39" s="513"/>
      <c r="N39" s="505">
        <f t="shared" si="2"/>
        <v>0</v>
      </c>
      <c r="O39" s="505">
        <f t="shared" si="3"/>
        <v>0</v>
      </c>
      <c r="P39" s="279"/>
      <c r="R39" s="244"/>
      <c r="S39" s="244"/>
      <c r="T39" s="244"/>
      <c r="U39" s="244"/>
    </row>
    <row r="40" spans="2:21">
      <c r="B40" s="145" t="str">
        <f t="shared" si="0"/>
        <v/>
      </c>
      <c r="C40" s="496">
        <f t="shared" si="9"/>
        <v>2035</v>
      </c>
      <c r="D40" s="509"/>
      <c r="E40" s="510">
        <f t="shared" si="10"/>
        <v>0</v>
      </c>
      <c r="F40" s="511">
        <f t="shared" si="5"/>
        <v>0</v>
      </c>
      <c r="G40" s="512">
        <f t="shared" si="6"/>
        <v>0</v>
      </c>
      <c r="H40" s="478">
        <f t="shared" si="7"/>
        <v>0</v>
      </c>
      <c r="I40" s="501">
        <f t="shared" si="8"/>
        <v>0</v>
      </c>
      <c r="J40" s="501"/>
      <c r="K40" s="513"/>
      <c r="L40" s="505">
        <f t="shared" si="1"/>
        <v>0</v>
      </c>
      <c r="M40" s="513"/>
      <c r="N40" s="505">
        <f t="shared" si="2"/>
        <v>0</v>
      </c>
      <c r="O40" s="505">
        <f t="shared" si="3"/>
        <v>0</v>
      </c>
      <c r="P40" s="279"/>
      <c r="R40" s="244"/>
      <c r="S40" s="244"/>
      <c r="T40" s="244"/>
      <c r="U40" s="244"/>
    </row>
    <row r="41" spans="2:21">
      <c r="B41" s="145" t="str">
        <f t="shared" si="0"/>
        <v/>
      </c>
      <c r="C41" s="496">
        <f t="shared" si="9"/>
        <v>2036</v>
      </c>
      <c r="D41" s="509"/>
      <c r="E41" s="510">
        <f t="shared" si="10"/>
        <v>0</v>
      </c>
      <c r="F41" s="511">
        <f t="shared" si="5"/>
        <v>0</v>
      </c>
      <c r="G41" s="512">
        <f t="shared" si="6"/>
        <v>0</v>
      </c>
      <c r="H41" s="478">
        <f t="shared" si="7"/>
        <v>0</v>
      </c>
      <c r="I41" s="501">
        <f t="shared" si="8"/>
        <v>0</v>
      </c>
      <c r="J41" s="501"/>
      <c r="K41" s="513"/>
      <c r="L41" s="505">
        <f t="shared" si="1"/>
        <v>0</v>
      </c>
      <c r="M41" s="513"/>
      <c r="N41" s="505">
        <f t="shared" si="2"/>
        <v>0</v>
      </c>
      <c r="O41" s="505">
        <f t="shared" si="3"/>
        <v>0</v>
      </c>
      <c r="P41" s="279"/>
      <c r="R41" s="244"/>
      <c r="S41" s="244"/>
      <c r="T41" s="244"/>
      <c r="U41" s="244"/>
    </row>
    <row r="42" spans="2:21">
      <c r="B42" s="145" t="str">
        <f t="shared" si="0"/>
        <v/>
      </c>
      <c r="C42" s="496">
        <f t="shared" si="9"/>
        <v>2037</v>
      </c>
      <c r="D42" s="509"/>
      <c r="E42" s="510">
        <f t="shared" si="10"/>
        <v>0</v>
      </c>
      <c r="F42" s="511">
        <f t="shared" si="5"/>
        <v>0</v>
      </c>
      <c r="G42" s="512">
        <f t="shared" si="6"/>
        <v>0</v>
      </c>
      <c r="H42" s="478">
        <f t="shared" si="7"/>
        <v>0</v>
      </c>
      <c r="I42" s="501">
        <f t="shared" si="8"/>
        <v>0</v>
      </c>
      <c r="J42" s="501"/>
      <c r="K42" s="513"/>
      <c r="L42" s="505">
        <f t="shared" si="1"/>
        <v>0</v>
      </c>
      <c r="M42" s="513"/>
      <c r="N42" s="505">
        <f t="shared" si="2"/>
        <v>0</v>
      </c>
      <c r="O42" s="505">
        <f t="shared" si="3"/>
        <v>0</v>
      </c>
      <c r="P42" s="279"/>
      <c r="R42" s="244"/>
      <c r="S42" s="244"/>
      <c r="T42" s="244"/>
      <c r="U42" s="244"/>
    </row>
    <row r="43" spans="2:21">
      <c r="B43" s="145" t="str">
        <f t="shared" si="0"/>
        <v/>
      </c>
      <c r="C43" s="496">
        <f t="shared" si="9"/>
        <v>2038</v>
      </c>
      <c r="D43" s="509"/>
      <c r="E43" s="510">
        <f t="shared" si="10"/>
        <v>0</v>
      </c>
      <c r="F43" s="511">
        <f t="shared" si="5"/>
        <v>0</v>
      </c>
      <c r="G43" s="512">
        <f t="shared" si="6"/>
        <v>0</v>
      </c>
      <c r="H43" s="478">
        <f t="shared" si="7"/>
        <v>0</v>
      </c>
      <c r="I43" s="501">
        <f t="shared" si="8"/>
        <v>0</v>
      </c>
      <c r="J43" s="501"/>
      <c r="K43" s="513"/>
      <c r="L43" s="505">
        <f t="shared" si="1"/>
        <v>0</v>
      </c>
      <c r="M43" s="513"/>
      <c r="N43" s="505">
        <f t="shared" si="2"/>
        <v>0</v>
      </c>
      <c r="O43" s="505">
        <f t="shared" si="3"/>
        <v>0</v>
      </c>
      <c r="P43" s="279"/>
      <c r="R43" s="244"/>
      <c r="S43" s="244"/>
      <c r="T43" s="244"/>
      <c r="U43" s="244"/>
    </row>
    <row r="44" spans="2:21">
      <c r="B44" s="145" t="str">
        <f t="shared" si="0"/>
        <v/>
      </c>
      <c r="C44" s="496">
        <f t="shared" si="9"/>
        <v>2039</v>
      </c>
      <c r="D44" s="509"/>
      <c r="E44" s="510">
        <f t="shared" si="10"/>
        <v>0</v>
      </c>
      <c r="F44" s="511">
        <f t="shared" si="5"/>
        <v>0</v>
      </c>
      <c r="G44" s="512">
        <f t="shared" si="6"/>
        <v>0</v>
      </c>
      <c r="H44" s="478">
        <f t="shared" si="7"/>
        <v>0</v>
      </c>
      <c r="I44" s="501">
        <f t="shared" si="8"/>
        <v>0</v>
      </c>
      <c r="J44" s="501"/>
      <c r="K44" s="513"/>
      <c r="L44" s="505">
        <f t="shared" si="1"/>
        <v>0</v>
      </c>
      <c r="M44" s="513"/>
      <c r="N44" s="505">
        <f t="shared" si="2"/>
        <v>0</v>
      </c>
      <c r="O44" s="505">
        <f t="shared" si="3"/>
        <v>0</v>
      </c>
      <c r="P44" s="279"/>
      <c r="R44" s="244"/>
      <c r="S44" s="244"/>
      <c r="T44" s="244"/>
      <c r="U44" s="244"/>
    </row>
    <row r="45" spans="2:21">
      <c r="B45" s="145" t="str">
        <f t="shared" si="0"/>
        <v/>
      </c>
      <c r="C45" s="496">
        <f t="shared" si="9"/>
        <v>2040</v>
      </c>
      <c r="D45" s="509"/>
      <c r="E45" s="510">
        <f t="shared" si="10"/>
        <v>0</v>
      </c>
      <c r="F45" s="511">
        <f t="shared" si="5"/>
        <v>0</v>
      </c>
      <c r="G45" s="512">
        <f t="shared" si="6"/>
        <v>0</v>
      </c>
      <c r="H45" s="478">
        <f t="shared" si="7"/>
        <v>0</v>
      </c>
      <c r="I45" s="501">
        <f t="shared" si="8"/>
        <v>0</v>
      </c>
      <c r="J45" s="501"/>
      <c r="K45" s="513"/>
      <c r="L45" s="505">
        <f t="shared" si="1"/>
        <v>0</v>
      </c>
      <c r="M45" s="513"/>
      <c r="N45" s="505">
        <f t="shared" si="2"/>
        <v>0</v>
      </c>
      <c r="O45" s="505">
        <f t="shared" si="3"/>
        <v>0</v>
      </c>
      <c r="P45" s="279"/>
      <c r="R45" s="244"/>
      <c r="S45" s="244"/>
      <c r="T45" s="244"/>
      <c r="U45" s="244"/>
    </row>
    <row r="46" spans="2:21">
      <c r="B46" s="145" t="str">
        <f t="shared" si="0"/>
        <v/>
      </c>
      <c r="C46" s="496">
        <f t="shared" si="9"/>
        <v>2041</v>
      </c>
      <c r="D46" s="509"/>
      <c r="E46" s="510">
        <f t="shared" si="10"/>
        <v>0</v>
      </c>
      <c r="F46" s="511">
        <f t="shared" si="5"/>
        <v>0</v>
      </c>
      <c r="G46" s="512">
        <f t="shared" si="6"/>
        <v>0</v>
      </c>
      <c r="H46" s="478">
        <f t="shared" si="7"/>
        <v>0</v>
      </c>
      <c r="I46" s="501">
        <f t="shared" si="8"/>
        <v>0</v>
      </c>
      <c r="J46" s="501"/>
      <c r="K46" s="513"/>
      <c r="L46" s="505">
        <f t="shared" si="1"/>
        <v>0</v>
      </c>
      <c r="M46" s="513"/>
      <c r="N46" s="505">
        <f t="shared" si="2"/>
        <v>0</v>
      </c>
      <c r="O46" s="505">
        <f t="shared" si="3"/>
        <v>0</v>
      </c>
      <c r="P46" s="279"/>
      <c r="R46" s="244"/>
      <c r="S46" s="244"/>
      <c r="T46" s="244"/>
      <c r="U46" s="244"/>
    </row>
    <row r="47" spans="2:21">
      <c r="B47" s="145" t="str">
        <f t="shared" si="0"/>
        <v/>
      </c>
      <c r="C47" s="496">
        <f t="shared" si="9"/>
        <v>2042</v>
      </c>
      <c r="D47" s="509"/>
      <c r="E47" s="510">
        <f t="shared" si="10"/>
        <v>0</v>
      </c>
      <c r="F47" s="511">
        <f t="shared" si="5"/>
        <v>0</v>
      </c>
      <c r="G47" s="512">
        <f t="shared" si="6"/>
        <v>0</v>
      </c>
      <c r="H47" s="478">
        <f t="shared" si="7"/>
        <v>0</v>
      </c>
      <c r="I47" s="501">
        <f t="shared" si="8"/>
        <v>0</v>
      </c>
      <c r="J47" s="501"/>
      <c r="K47" s="513"/>
      <c r="L47" s="505">
        <f t="shared" si="1"/>
        <v>0</v>
      </c>
      <c r="M47" s="513"/>
      <c r="N47" s="505">
        <f t="shared" si="2"/>
        <v>0</v>
      </c>
      <c r="O47" s="505">
        <f t="shared" si="3"/>
        <v>0</v>
      </c>
      <c r="P47" s="279"/>
      <c r="R47" s="244"/>
      <c r="S47" s="244"/>
      <c r="T47" s="244"/>
      <c r="U47" s="244"/>
    </row>
    <row r="48" spans="2:21">
      <c r="B48" s="145" t="str">
        <f t="shared" si="0"/>
        <v/>
      </c>
      <c r="C48" s="496">
        <f t="shared" si="9"/>
        <v>2043</v>
      </c>
      <c r="D48" s="509"/>
      <c r="E48" s="510">
        <f t="shared" si="10"/>
        <v>0</v>
      </c>
      <c r="F48" s="511">
        <f t="shared" si="5"/>
        <v>0</v>
      </c>
      <c r="G48" s="512">
        <f t="shared" si="6"/>
        <v>0</v>
      </c>
      <c r="H48" s="478">
        <f t="shared" si="7"/>
        <v>0</v>
      </c>
      <c r="I48" s="501">
        <f t="shared" si="8"/>
        <v>0</v>
      </c>
      <c r="J48" s="501"/>
      <c r="K48" s="513"/>
      <c r="L48" s="505">
        <f t="shared" si="1"/>
        <v>0</v>
      </c>
      <c r="M48" s="513"/>
      <c r="N48" s="505">
        <f t="shared" si="2"/>
        <v>0</v>
      </c>
      <c r="O48" s="505">
        <f t="shared" si="3"/>
        <v>0</v>
      </c>
      <c r="P48" s="279"/>
      <c r="R48" s="244"/>
      <c r="S48" s="244"/>
      <c r="T48" s="244"/>
      <c r="U48" s="244"/>
    </row>
    <row r="49" spans="2:21">
      <c r="B49" s="145" t="str">
        <f t="shared" si="0"/>
        <v/>
      </c>
      <c r="C49" s="496">
        <f t="shared" si="9"/>
        <v>2044</v>
      </c>
      <c r="D49" s="509"/>
      <c r="E49" s="510">
        <f t="shared" si="10"/>
        <v>0</v>
      </c>
      <c r="F49" s="511">
        <f t="shared" si="5"/>
        <v>0</v>
      </c>
      <c r="G49" s="512">
        <f t="shared" si="6"/>
        <v>0</v>
      </c>
      <c r="H49" s="478">
        <f t="shared" si="7"/>
        <v>0</v>
      </c>
      <c r="I49" s="501">
        <f t="shared" si="8"/>
        <v>0</v>
      </c>
      <c r="J49" s="501"/>
      <c r="K49" s="513"/>
      <c r="L49" s="505">
        <f t="shared" si="1"/>
        <v>0</v>
      </c>
      <c r="M49" s="513"/>
      <c r="N49" s="505">
        <f t="shared" si="2"/>
        <v>0</v>
      </c>
      <c r="O49" s="505">
        <f t="shared" si="3"/>
        <v>0</v>
      </c>
      <c r="P49" s="279"/>
      <c r="R49" s="244"/>
      <c r="S49" s="244"/>
      <c r="T49" s="244"/>
      <c r="U49" s="244"/>
    </row>
    <row r="50" spans="2:21">
      <c r="B50" s="145" t="str">
        <f t="shared" ref="B50:B73" si="11">IF(D50=F49,"","IU")</f>
        <v/>
      </c>
      <c r="C50" s="496">
        <f t="shared" si="9"/>
        <v>2045</v>
      </c>
      <c r="D50" s="509"/>
      <c r="E50" s="510">
        <f t="shared" si="10"/>
        <v>0</v>
      </c>
      <c r="F50" s="511">
        <f t="shared" ref="F50:F73" si="12">+D50-E50</f>
        <v>0</v>
      </c>
      <c r="G50" s="512">
        <f t="shared" si="6"/>
        <v>0</v>
      </c>
      <c r="H50" s="478">
        <f t="shared" si="7"/>
        <v>0</v>
      </c>
      <c r="I50" s="501">
        <f t="shared" ref="I50:I73" si="13">H50-G50</f>
        <v>0</v>
      </c>
      <c r="J50" s="501"/>
      <c r="K50" s="513"/>
      <c r="L50" s="505">
        <f t="shared" ref="L50:L73" si="14">IF(K50&lt;&gt;0,+G50-K50,0)</f>
        <v>0</v>
      </c>
      <c r="M50" s="513"/>
      <c r="N50" s="505">
        <f t="shared" ref="N50:N73" si="15">IF(M50&lt;&gt;0,+H50-M50,0)</f>
        <v>0</v>
      </c>
      <c r="O50" s="505">
        <f t="shared" ref="O50:O73" si="16">+N50-L50</f>
        <v>0</v>
      </c>
      <c r="P50" s="279"/>
      <c r="R50" s="244"/>
      <c r="S50" s="244"/>
      <c r="T50" s="244"/>
      <c r="U50" s="244"/>
    </row>
    <row r="51" spans="2:21">
      <c r="B51" s="145" t="str">
        <f t="shared" si="11"/>
        <v/>
      </c>
      <c r="C51" s="496">
        <f t="shared" si="9"/>
        <v>2046</v>
      </c>
      <c r="D51" s="509"/>
      <c r="E51" s="510">
        <f t="shared" si="10"/>
        <v>0</v>
      </c>
      <c r="F51" s="511">
        <f t="shared" si="12"/>
        <v>0</v>
      </c>
      <c r="G51" s="512">
        <f t="shared" si="6"/>
        <v>0</v>
      </c>
      <c r="H51" s="478">
        <f t="shared" si="7"/>
        <v>0</v>
      </c>
      <c r="I51" s="501">
        <f t="shared" si="13"/>
        <v>0</v>
      </c>
      <c r="J51" s="501"/>
      <c r="K51" s="513"/>
      <c r="L51" s="505">
        <f t="shared" si="14"/>
        <v>0</v>
      </c>
      <c r="M51" s="513"/>
      <c r="N51" s="505">
        <f t="shared" si="15"/>
        <v>0</v>
      </c>
      <c r="O51" s="505">
        <f t="shared" si="16"/>
        <v>0</v>
      </c>
      <c r="P51" s="279"/>
      <c r="R51" s="244"/>
      <c r="S51" s="244"/>
      <c r="T51" s="244"/>
      <c r="U51" s="244"/>
    </row>
    <row r="52" spans="2:21">
      <c r="B52" s="145" t="str">
        <f t="shared" si="11"/>
        <v/>
      </c>
      <c r="C52" s="496">
        <f t="shared" si="9"/>
        <v>2047</v>
      </c>
      <c r="D52" s="509"/>
      <c r="E52" s="510">
        <f t="shared" si="10"/>
        <v>0</v>
      </c>
      <c r="F52" s="511">
        <f t="shared" si="12"/>
        <v>0</v>
      </c>
      <c r="G52" s="512">
        <f t="shared" si="6"/>
        <v>0</v>
      </c>
      <c r="H52" s="478">
        <f t="shared" si="7"/>
        <v>0</v>
      </c>
      <c r="I52" s="501">
        <f t="shared" si="13"/>
        <v>0</v>
      </c>
      <c r="J52" s="501"/>
      <c r="K52" s="513"/>
      <c r="L52" s="505">
        <f t="shared" si="14"/>
        <v>0</v>
      </c>
      <c r="M52" s="513"/>
      <c r="N52" s="505">
        <f t="shared" si="15"/>
        <v>0</v>
      </c>
      <c r="O52" s="505">
        <f t="shared" si="16"/>
        <v>0</v>
      </c>
      <c r="P52" s="279"/>
      <c r="R52" s="244"/>
      <c r="S52" s="244"/>
      <c r="T52" s="244"/>
      <c r="U52" s="244"/>
    </row>
    <row r="53" spans="2:21">
      <c r="B53" s="145" t="str">
        <f t="shared" si="11"/>
        <v/>
      </c>
      <c r="C53" s="496">
        <f t="shared" si="9"/>
        <v>2048</v>
      </c>
      <c r="D53" s="509"/>
      <c r="E53" s="510">
        <f t="shared" si="10"/>
        <v>0</v>
      </c>
      <c r="F53" s="511">
        <f t="shared" si="12"/>
        <v>0</v>
      </c>
      <c r="G53" s="512">
        <f t="shared" si="6"/>
        <v>0</v>
      </c>
      <c r="H53" s="478">
        <f t="shared" si="7"/>
        <v>0</v>
      </c>
      <c r="I53" s="501">
        <f t="shared" si="13"/>
        <v>0</v>
      </c>
      <c r="J53" s="501"/>
      <c r="K53" s="513"/>
      <c r="L53" s="505">
        <f t="shared" si="14"/>
        <v>0</v>
      </c>
      <c r="M53" s="513"/>
      <c r="N53" s="505">
        <f t="shared" si="15"/>
        <v>0</v>
      </c>
      <c r="O53" s="505">
        <f t="shared" si="16"/>
        <v>0</v>
      </c>
      <c r="P53" s="279"/>
      <c r="R53" s="244"/>
      <c r="S53" s="244"/>
      <c r="T53" s="244"/>
      <c r="U53" s="244"/>
    </row>
    <row r="54" spans="2:21">
      <c r="B54" s="145" t="str">
        <f t="shared" si="11"/>
        <v/>
      </c>
      <c r="C54" s="496">
        <f t="shared" si="9"/>
        <v>2049</v>
      </c>
      <c r="D54" s="509"/>
      <c r="E54" s="510">
        <f t="shared" si="10"/>
        <v>0</v>
      </c>
      <c r="F54" s="511">
        <f t="shared" si="12"/>
        <v>0</v>
      </c>
      <c r="G54" s="512">
        <f t="shared" si="6"/>
        <v>0</v>
      </c>
      <c r="H54" s="478">
        <f t="shared" si="7"/>
        <v>0</v>
      </c>
      <c r="I54" s="501">
        <f t="shared" si="13"/>
        <v>0</v>
      </c>
      <c r="J54" s="501"/>
      <c r="K54" s="513"/>
      <c r="L54" s="505">
        <f t="shared" si="14"/>
        <v>0</v>
      </c>
      <c r="M54" s="513"/>
      <c r="N54" s="505">
        <f t="shared" si="15"/>
        <v>0</v>
      </c>
      <c r="O54" s="505">
        <f t="shared" si="16"/>
        <v>0</v>
      </c>
      <c r="P54" s="279"/>
      <c r="R54" s="244"/>
      <c r="S54" s="244"/>
      <c r="T54" s="244"/>
      <c r="U54" s="244"/>
    </row>
    <row r="55" spans="2:21">
      <c r="B55" s="145" t="str">
        <f t="shared" si="11"/>
        <v/>
      </c>
      <c r="C55" s="496">
        <f t="shared" si="9"/>
        <v>2050</v>
      </c>
      <c r="D55" s="509"/>
      <c r="E55" s="510">
        <f t="shared" si="10"/>
        <v>0</v>
      </c>
      <c r="F55" s="511">
        <f t="shared" si="12"/>
        <v>0</v>
      </c>
      <c r="G55" s="512">
        <f t="shared" si="6"/>
        <v>0</v>
      </c>
      <c r="H55" s="478">
        <f t="shared" si="7"/>
        <v>0</v>
      </c>
      <c r="I55" s="501">
        <f t="shared" si="13"/>
        <v>0</v>
      </c>
      <c r="J55" s="501"/>
      <c r="K55" s="513"/>
      <c r="L55" s="505">
        <f t="shared" si="14"/>
        <v>0</v>
      </c>
      <c r="M55" s="513"/>
      <c r="N55" s="505">
        <f t="shared" si="15"/>
        <v>0</v>
      </c>
      <c r="O55" s="505">
        <f t="shared" si="16"/>
        <v>0</v>
      </c>
      <c r="P55" s="279"/>
      <c r="R55" s="244"/>
      <c r="S55" s="244"/>
      <c r="T55" s="244"/>
      <c r="U55" s="244"/>
    </row>
    <row r="56" spans="2:21">
      <c r="B56" s="145" t="str">
        <f t="shared" si="11"/>
        <v/>
      </c>
      <c r="C56" s="496">
        <f t="shared" si="9"/>
        <v>2051</v>
      </c>
      <c r="D56" s="509"/>
      <c r="E56" s="510">
        <f t="shared" si="10"/>
        <v>0</v>
      </c>
      <c r="F56" s="511">
        <f t="shared" si="12"/>
        <v>0</v>
      </c>
      <c r="G56" s="512">
        <f t="shared" si="6"/>
        <v>0</v>
      </c>
      <c r="H56" s="478">
        <f t="shared" si="7"/>
        <v>0</v>
      </c>
      <c r="I56" s="501">
        <f t="shared" si="13"/>
        <v>0</v>
      </c>
      <c r="J56" s="501"/>
      <c r="K56" s="513"/>
      <c r="L56" s="505">
        <f t="shared" si="14"/>
        <v>0</v>
      </c>
      <c r="M56" s="513"/>
      <c r="N56" s="505">
        <f t="shared" si="15"/>
        <v>0</v>
      </c>
      <c r="O56" s="505">
        <f t="shared" si="16"/>
        <v>0</v>
      </c>
      <c r="P56" s="279"/>
      <c r="R56" s="244"/>
      <c r="S56" s="244"/>
      <c r="T56" s="244"/>
      <c r="U56" s="244"/>
    </row>
    <row r="57" spans="2:21">
      <c r="B57" s="145" t="str">
        <f t="shared" si="11"/>
        <v/>
      </c>
      <c r="C57" s="496">
        <f t="shared" si="9"/>
        <v>2052</v>
      </c>
      <c r="D57" s="509"/>
      <c r="E57" s="510">
        <f t="shared" si="10"/>
        <v>0</v>
      </c>
      <c r="F57" s="511">
        <f t="shared" si="12"/>
        <v>0</v>
      </c>
      <c r="G57" s="512">
        <f t="shared" si="6"/>
        <v>0</v>
      </c>
      <c r="H57" s="478">
        <f t="shared" si="7"/>
        <v>0</v>
      </c>
      <c r="I57" s="501">
        <f t="shared" si="13"/>
        <v>0</v>
      </c>
      <c r="J57" s="501"/>
      <c r="K57" s="513"/>
      <c r="L57" s="505">
        <f t="shared" si="14"/>
        <v>0</v>
      </c>
      <c r="M57" s="513"/>
      <c r="N57" s="505">
        <f t="shared" si="15"/>
        <v>0</v>
      </c>
      <c r="O57" s="505">
        <f t="shared" si="16"/>
        <v>0</v>
      </c>
      <c r="P57" s="279"/>
      <c r="R57" s="244"/>
      <c r="S57" s="244"/>
      <c r="T57" s="244"/>
      <c r="U57" s="244"/>
    </row>
    <row r="58" spans="2:21">
      <c r="B58" s="145" t="str">
        <f t="shared" si="11"/>
        <v/>
      </c>
      <c r="C58" s="496">
        <f t="shared" si="9"/>
        <v>2053</v>
      </c>
      <c r="D58" s="509"/>
      <c r="E58" s="510">
        <f t="shared" si="10"/>
        <v>0</v>
      </c>
      <c r="F58" s="511">
        <f t="shared" si="12"/>
        <v>0</v>
      </c>
      <c r="G58" s="512">
        <f t="shared" si="6"/>
        <v>0</v>
      </c>
      <c r="H58" s="478">
        <f t="shared" si="7"/>
        <v>0</v>
      </c>
      <c r="I58" s="501">
        <f t="shared" si="13"/>
        <v>0</v>
      </c>
      <c r="J58" s="501"/>
      <c r="K58" s="513"/>
      <c r="L58" s="505">
        <f t="shared" si="14"/>
        <v>0</v>
      </c>
      <c r="M58" s="513"/>
      <c r="N58" s="505">
        <f t="shared" si="15"/>
        <v>0</v>
      </c>
      <c r="O58" s="505">
        <f t="shared" si="16"/>
        <v>0</v>
      </c>
      <c r="P58" s="279"/>
      <c r="R58" s="244"/>
      <c r="S58" s="244"/>
      <c r="T58" s="244"/>
      <c r="U58" s="244"/>
    </row>
    <row r="59" spans="2:21">
      <c r="B59" s="145" t="str">
        <f t="shared" si="11"/>
        <v/>
      </c>
      <c r="C59" s="496">
        <f t="shared" si="9"/>
        <v>2054</v>
      </c>
      <c r="D59" s="509"/>
      <c r="E59" s="510">
        <f t="shared" si="10"/>
        <v>0</v>
      </c>
      <c r="F59" s="511">
        <f t="shared" si="12"/>
        <v>0</v>
      </c>
      <c r="G59" s="512">
        <f t="shared" si="6"/>
        <v>0</v>
      </c>
      <c r="H59" s="478">
        <f t="shared" si="7"/>
        <v>0</v>
      </c>
      <c r="I59" s="501">
        <f t="shared" si="13"/>
        <v>0</v>
      </c>
      <c r="J59" s="501"/>
      <c r="K59" s="513"/>
      <c r="L59" s="505">
        <f t="shared" si="14"/>
        <v>0</v>
      </c>
      <c r="M59" s="513"/>
      <c r="N59" s="505">
        <f t="shared" si="15"/>
        <v>0</v>
      </c>
      <c r="O59" s="505">
        <f t="shared" si="16"/>
        <v>0</v>
      </c>
      <c r="P59" s="279"/>
      <c r="R59" s="244"/>
      <c r="S59" s="244"/>
      <c r="T59" s="244"/>
      <c r="U59" s="244"/>
    </row>
    <row r="60" spans="2:21">
      <c r="B60" s="145" t="str">
        <f t="shared" si="11"/>
        <v/>
      </c>
      <c r="C60" s="496">
        <f t="shared" si="9"/>
        <v>2055</v>
      </c>
      <c r="D60" s="509"/>
      <c r="E60" s="510">
        <f t="shared" si="10"/>
        <v>0</v>
      </c>
      <c r="F60" s="511">
        <f t="shared" si="12"/>
        <v>0</v>
      </c>
      <c r="G60" s="512">
        <f t="shared" si="6"/>
        <v>0</v>
      </c>
      <c r="H60" s="478">
        <f t="shared" si="7"/>
        <v>0</v>
      </c>
      <c r="I60" s="501">
        <f t="shared" si="13"/>
        <v>0</v>
      </c>
      <c r="J60" s="501"/>
      <c r="K60" s="513"/>
      <c r="L60" s="505">
        <f t="shared" si="14"/>
        <v>0</v>
      </c>
      <c r="M60" s="513"/>
      <c r="N60" s="505">
        <f t="shared" si="15"/>
        <v>0</v>
      </c>
      <c r="O60" s="505">
        <f t="shared" si="16"/>
        <v>0</v>
      </c>
      <c r="P60" s="279"/>
      <c r="R60" s="244"/>
      <c r="S60" s="244"/>
      <c r="T60" s="244"/>
      <c r="U60" s="244"/>
    </row>
    <row r="61" spans="2:21">
      <c r="B61" s="145" t="str">
        <f t="shared" si="11"/>
        <v/>
      </c>
      <c r="C61" s="496">
        <f t="shared" si="9"/>
        <v>2056</v>
      </c>
      <c r="D61" s="509"/>
      <c r="E61" s="510">
        <f t="shared" si="10"/>
        <v>0</v>
      </c>
      <c r="F61" s="511">
        <f t="shared" si="12"/>
        <v>0</v>
      </c>
      <c r="G61" s="512">
        <f t="shared" si="6"/>
        <v>0</v>
      </c>
      <c r="H61" s="478">
        <f t="shared" si="7"/>
        <v>0</v>
      </c>
      <c r="I61" s="501">
        <f t="shared" si="13"/>
        <v>0</v>
      </c>
      <c r="J61" s="501"/>
      <c r="K61" s="513"/>
      <c r="L61" s="505">
        <f t="shared" si="14"/>
        <v>0</v>
      </c>
      <c r="M61" s="513"/>
      <c r="N61" s="505">
        <f t="shared" si="15"/>
        <v>0</v>
      </c>
      <c r="O61" s="505">
        <f t="shared" si="16"/>
        <v>0</v>
      </c>
      <c r="P61" s="279"/>
      <c r="R61" s="244"/>
      <c r="S61" s="244"/>
      <c r="T61" s="244"/>
      <c r="U61" s="244"/>
    </row>
    <row r="62" spans="2:21">
      <c r="B62" s="145" t="str">
        <f t="shared" si="11"/>
        <v/>
      </c>
      <c r="C62" s="496">
        <f t="shared" si="9"/>
        <v>2057</v>
      </c>
      <c r="D62" s="509"/>
      <c r="E62" s="510">
        <f t="shared" si="10"/>
        <v>0</v>
      </c>
      <c r="F62" s="511">
        <f t="shared" si="12"/>
        <v>0</v>
      </c>
      <c r="G62" s="524">
        <f t="shared" si="6"/>
        <v>0</v>
      </c>
      <c r="H62" s="478">
        <f t="shared" si="7"/>
        <v>0</v>
      </c>
      <c r="I62" s="501">
        <f t="shared" si="13"/>
        <v>0</v>
      </c>
      <c r="J62" s="501"/>
      <c r="K62" s="513"/>
      <c r="L62" s="505">
        <f t="shared" si="14"/>
        <v>0</v>
      </c>
      <c r="M62" s="513"/>
      <c r="N62" s="505">
        <f t="shared" si="15"/>
        <v>0</v>
      </c>
      <c r="O62" s="505">
        <f t="shared" si="16"/>
        <v>0</v>
      </c>
      <c r="P62" s="279"/>
      <c r="R62" s="244"/>
      <c r="S62" s="244"/>
      <c r="T62" s="244"/>
      <c r="U62" s="244"/>
    </row>
    <row r="63" spans="2:21">
      <c r="B63" s="145" t="str">
        <f t="shared" si="11"/>
        <v/>
      </c>
      <c r="C63" s="496">
        <f t="shared" si="9"/>
        <v>2058</v>
      </c>
      <c r="D63" s="509"/>
      <c r="E63" s="510">
        <f t="shared" si="10"/>
        <v>0</v>
      </c>
      <c r="F63" s="511">
        <f t="shared" si="12"/>
        <v>0</v>
      </c>
      <c r="G63" s="524">
        <f t="shared" si="6"/>
        <v>0</v>
      </c>
      <c r="H63" s="478">
        <f t="shared" si="7"/>
        <v>0</v>
      </c>
      <c r="I63" s="501">
        <f t="shared" si="13"/>
        <v>0</v>
      </c>
      <c r="J63" s="501"/>
      <c r="K63" s="513"/>
      <c r="L63" s="505">
        <f t="shared" si="14"/>
        <v>0</v>
      </c>
      <c r="M63" s="513"/>
      <c r="N63" s="505">
        <f t="shared" si="15"/>
        <v>0</v>
      </c>
      <c r="O63" s="505">
        <f t="shared" si="16"/>
        <v>0</v>
      </c>
      <c r="P63" s="279"/>
      <c r="R63" s="244"/>
      <c r="S63" s="244"/>
      <c r="T63" s="244"/>
      <c r="U63" s="244"/>
    </row>
    <row r="64" spans="2:21">
      <c r="B64" s="145" t="str">
        <f t="shared" si="11"/>
        <v/>
      </c>
      <c r="C64" s="496">
        <f t="shared" si="9"/>
        <v>2059</v>
      </c>
      <c r="D64" s="509"/>
      <c r="E64" s="510">
        <f t="shared" si="10"/>
        <v>0</v>
      </c>
      <c r="F64" s="511">
        <f t="shared" si="12"/>
        <v>0</v>
      </c>
      <c r="G64" s="524">
        <f t="shared" si="6"/>
        <v>0</v>
      </c>
      <c r="H64" s="478">
        <f t="shared" si="7"/>
        <v>0</v>
      </c>
      <c r="I64" s="501">
        <f t="shared" si="13"/>
        <v>0</v>
      </c>
      <c r="J64" s="501"/>
      <c r="K64" s="513"/>
      <c r="L64" s="505">
        <f t="shared" si="14"/>
        <v>0</v>
      </c>
      <c r="M64" s="513"/>
      <c r="N64" s="505">
        <f t="shared" si="15"/>
        <v>0</v>
      </c>
      <c r="O64" s="505">
        <f t="shared" si="16"/>
        <v>0</v>
      </c>
      <c r="P64" s="279"/>
      <c r="R64" s="244"/>
      <c r="S64" s="244"/>
      <c r="T64" s="244"/>
      <c r="U64" s="244"/>
    </row>
    <row r="65" spans="2:21">
      <c r="B65" s="145" t="str">
        <f t="shared" si="11"/>
        <v/>
      </c>
      <c r="C65" s="496">
        <f t="shared" si="9"/>
        <v>2060</v>
      </c>
      <c r="D65" s="509"/>
      <c r="E65" s="510">
        <f t="shared" si="10"/>
        <v>0</v>
      </c>
      <c r="F65" s="511">
        <f t="shared" si="12"/>
        <v>0</v>
      </c>
      <c r="G65" s="524">
        <f t="shared" si="6"/>
        <v>0</v>
      </c>
      <c r="H65" s="478">
        <f t="shared" si="7"/>
        <v>0</v>
      </c>
      <c r="I65" s="501">
        <f t="shared" si="13"/>
        <v>0</v>
      </c>
      <c r="J65" s="501"/>
      <c r="K65" s="513"/>
      <c r="L65" s="505">
        <f t="shared" si="14"/>
        <v>0</v>
      </c>
      <c r="M65" s="513"/>
      <c r="N65" s="505">
        <f t="shared" si="15"/>
        <v>0</v>
      </c>
      <c r="O65" s="505">
        <f t="shared" si="16"/>
        <v>0</v>
      </c>
      <c r="P65" s="279"/>
      <c r="R65" s="244"/>
      <c r="S65" s="244"/>
      <c r="T65" s="244"/>
      <c r="U65" s="244"/>
    </row>
    <row r="66" spans="2:21">
      <c r="B66" s="145" t="str">
        <f t="shared" si="11"/>
        <v/>
      </c>
      <c r="C66" s="496">
        <f t="shared" si="9"/>
        <v>2061</v>
      </c>
      <c r="D66" s="509"/>
      <c r="E66" s="510">
        <f t="shared" si="10"/>
        <v>0</v>
      </c>
      <c r="F66" s="511">
        <f t="shared" si="12"/>
        <v>0</v>
      </c>
      <c r="G66" s="524">
        <f t="shared" si="6"/>
        <v>0</v>
      </c>
      <c r="H66" s="478">
        <f t="shared" si="7"/>
        <v>0</v>
      </c>
      <c r="I66" s="501">
        <f t="shared" si="13"/>
        <v>0</v>
      </c>
      <c r="J66" s="501"/>
      <c r="K66" s="513"/>
      <c r="L66" s="505">
        <f t="shared" si="14"/>
        <v>0</v>
      </c>
      <c r="M66" s="513"/>
      <c r="N66" s="505">
        <f t="shared" si="15"/>
        <v>0</v>
      </c>
      <c r="O66" s="505">
        <f t="shared" si="16"/>
        <v>0</v>
      </c>
      <c r="P66" s="279"/>
      <c r="R66" s="244"/>
      <c r="S66" s="244"/>
      <c r="T66" s="244"/>
      <c r="U66" s="244"/>
    </row>
    <row r="67" spans="2:21">
      <c r="B67" s="145" t="str">
        <f t="shared" si="11"/>
        <v/>
      </c>
      <c r="C67" s="496">
        <f t="shared" si="9"/>
        <v>2062</v>
      </c>
      <c r="D67" s="509"/>
      <c r="E67" s="510">
        <f t="shared" si="10"/>
        <v>0</v>
      </c>
      <c r="F67" s="511">
        <f t="shared" si="12"/>
        <v>0</v>
      </c>
      <c r="G67" s="524">
        <f t="shared" si="6"/>
        <v>0</v>
      </c>
      <c r="H67" s="478">
        <f t="shared" si="7"/>
        <v>0</v>
      </c>
      <c r="I67" s="501">
        <f t="shared" si="13"/>
        <v>0</v>
      </c>
      <c r="J67" s="501"/>
      <c r="K67" s="513"/>
      <c r="L67" s="505">
        <f t="shared" si="14"/>
        <v>0</v>
      </c>
      <c r="M67" s="513"/>
      <c r="N67" s="505">
        <f t="shared" si="15"/>
        <v>0</v>
      </c>
      <c r="O67" s="505">
        <f t="shared" si="16"/>
        <v>0</v>
      </c>
      <c r="P67" s="279"/>
      <c r="R67" s="244"/>
      <c r="S67" s="244"/>
      <c r="T67" s="244"/>
      <c r="U67" s="244"/>
    </row>
    <row r="68" spans="2:21">
      <c r="B68" s="145" t="str">
        <f t="shared" si="11"/>
        <v/>
      </c>
      <c r="C68" s="496">
        <f t="shared" si="9"/>
        <v>2063</v>
      </c>
      <c r="D68" s="509"/>
      <c r="E68" s="510">
        <f t="shared" si="10"/>
        <v>0</v>
      </c>
      <c r="F68" s="511">
        <f t="shared" si="12"/>
        <v>0</v>
      </c>
      <c r="G68" s="524">
        <f t="shared" si="6"/>
        <v>0</v>
      </c>
      <c r="H68" s="478">
        <f t="shared" si="7"/>
        <v>0</v>
      </c>
      <c r="I68" s="501">
        <f t="shared" si="13"/>
        <v>0</v>
      </c>
      <c r="J68" s="501"/>
      <c r="K68" s="513"/>
      <c r="L68" s="505">
        <f t="shared" si="14"/>
        <v>0</v>
      </c>
      <c r="M68" s="513"/>
      <c r="N68" s="505">
        <f t="shared" si="15"/>
        <v>0</v>
      </c>
      <c r="O68" s="505">
        <f t="shared" si="16"/>
        <v>0</v>
      </c>
      <c r="P68" s="279"/>
      <c r="R68" s="244"/>
      <c r="S68" s="244"/>
      <c r="T68" s="244"/>
      <c r="U68" s="244"/>
    </row>
    <row r="69" spans="2:21">
      <c r="B69" s="145" t="str">
        <f t="shared" si="11"/>
        <v/>
      </c>
      <c r="C69" s="496">
        <f t="shared" si="9"/>
        <v>2064</v>
      </c>
      <c r="D69" s="509"/>
      <c r="E69" s="510">
        <f t="shared" si="10"/>
        <v>0</v>
      </c>
      <c r="F69" s="511">
        <f t="shared" si="12"/>
        <v>0</v>
      </c>
      <c r="G69" s="524">
        <f t="shared" si="6"/>
        <v>0</v>
      </c>
      <c r="H69" s="478">
        <f t="shared" si="7"/>
        <v>0</v>
      </c>
      <c r="I69" s="501">
        <f t="shared" si="13"/>
        <v>0</v>
      </c>
      <c r="J69" s="501"/>
      <c r="K69" s="513"/>
      <c r="L69" s="505">
        <f t="shared" si="14"/>
        <v>0</v>
      </c>
      <c r="M69" s="513"/>
      <c r="N69" s="505">
        <f t="shared" si="15"/>
        <v>0</v>
      </c>
      <c r="O69" s="505">
        <f t="shared" si="16"/>
        <v>0</v>
      </c>
      <c r="P69" s="279"/>
      <c r="R69" s="244"/>
      <c r="S69" s="244"/>
      <c r="T69" s="244"/>
      <c r="U69" s="244"/>
    </row>
    <row r="70" spans="2:21">
      <c r="B70" s="145" t="str">
        <f t="shared" si="11"/>
        <v/>
      </c>
      <c r="C70" s="496">
        <f t="shared" si="9"/>
        <v>2065</v>
      </c>
      <c r="D70" s="509"/>
      <c r="E70" s="510">
        <f t="shared" si="10"/>
        <v>0</v>
      </c>
      <c r="F70" s="511">
        <f t="shared" si="12"/>
        <v>0</v>
      </c>
      <c r="G70" s="524">
        <f t="shared" si="6"/>
        <v>0</v>
      </c>
      <c r="H70" s="478">
        <f t="shared" si="7"/>
        <v>0</v>
      </c>
      <c r="I70" s="501">
        <f t="shared" si="13"/>
        <v>0</v>
      </c>
      <c r="J70" s="501"/>
      <c r="K70" s="513"/>
      <c r="L70" s="505">
        <f t="shared" si="14"/>
        <v>0</v>
      </c>
      <c r="M70" s="513"/>
      <c r="N70" s="505">
        <f t="shared" si="15"/>
        <v>0</v>
      </c>
      <c r="O70" s="505">
        <f t="shared" si="16"/>
        <v>0</v>
      </c>
      <c r="P70" s="279"/>
      <c r="R70" s="244"/>
      <c r="S70" s="244"/>
      <c r="T70" s="244"/>
      <c r="U70" s="244"/>
    </row>
    <row r="71" spans="2:21">
      <c r="B71" s="145" t="str">
        <f t="shared" si="11"/>
        <v/>
      </c>
      <c r="C71" s="496">
        <f t="shared" si="9"/>
        <v>2066</v>
      </c>
      <c r="D71" s="509"/>
      <c r="E71" s="510">
        <f t="shared" si="10"/>
        <v>0</v>
      </c>
      <c r="F71" s="511">
        <f t="shared" si="12"/>
        <v>0</v>
      </c>
      <c r="G71" s="524">
        <f t="shared" si="6"/>
        <v>0</v>
      </c>
      <c r="H71" s="478">
        <f t="shared" si="7"/>
        <v>0</v>
      </c>
      <c r="I71" s="501">
        <f t="shared" si="13"/>
        <v>0</v>
      </c>
      <c r="J71" s="501"/>
      <c r="K71" s="513"/>
      <c r="L71" s="505">
        <f t="shared" si="14"/>
        <v>0</v>
      </c>
      <c r="M71" s="513"/>
      <c r="N71" s="505">
        <f t="shared" si="15"/>
        <v>0</v>
      </c>
      <c r="O71" s="505">
        <f t="shared" si="16"/>
        <v>0</v>
      </c>
      <c r="P71" s="279"/>
      <c r="R71" s="244"/>
      <c r="S71" s="244"/>
      <c r="T71" s="244"/>
      <c r="U71" s="244"/>
    </row>
    <row r="72" spans="2:21">
      <c r="B72" s="145" t="str">
        <f t="shared" si="11"/>
        <v/>
      </c>
      <c r="C72" s="496">
        <f t="shared" si="9"/>
        <v>2067</v>
      </c>
      <c r="D72" s="509"/>
      <c r="E72" s="510">
        <f t="shared" si="10"/>
        <v>0</v>
      </c>
      <c r="F72" s="511">
        <f t="shared" si="12"/>
        <v>0</v>
      </c>
      <c r="G72" s="524">
        <f t="shared" si="6"/>
        <v>0</v>
      </c>
      <c r="H72" s="478">
        <f t="shared" si="7"/>
        <v>0</v>
      </c>
      <c r="I72" s="501">
        <f t="shared" si="13"/>
        <v>0</v>
      </c>
      <c r="J72" s="501"/>
      <c r="K72" s="513"/>
      <c r="L72" s="505">
        <f t="shared" si="14"/>
        <v>0</v>
      </c>
      <c r="M72" s="513"/>
      <c r="N72" s="505">
        <f t="shared" si="15"/>
        <v>0</v>
      </c>
      <c r="O72" s="505">
        <f t="shared" si="16"/>
        <v>0</v>
      </c>
      <c r="P72" s="279"/>
      <c r="R72" s="244"/>
      <c r="S72" s="244"/>
      <c r="T72" s="244"/>
      <c r="U72" s="244"/>
    </row>
    <row r="73" spans="2:21" ht="13.5" thickBot="1">
      <c r="B73" s="145" t="str">
        <f t="shared" si="11"/>
        <v/>
      </c>
      <c r="C73" s="525">
        <f t="shared" si="9"/>
        <v>2068</v>
      </c>
      <c r="D73" s="526"/>
      <c r="E73" s="527">
        <f t="shared" si="10"/>
        <v>0</v>
      </c>
      <c r="F73" s="528">
        <f t="shared" si="12"/>
        <v>0</v>
      </c>
      <c r="G73" s="529">
        <f t="shared" si="6"/>
        <v>0</v>
      </c>
      <c r="H73" s="459">
        <f t="shared" si="7"/>
        <v>0</v>
      </c>
      <c r="I73" s="530">
        <f t="shared" si="13"/>
        <v>0</v>
      </c>
      <c r="J73" s="501"/>
      <c r="K73" s="531"/>
      <c r="L73" s="532">
        <f t="shared" si="14"/>
        <v>0</v>
      </c>
      <c r="M73" s="531"/>
      <c r="N73" s="532">
        <f t="shared" si="15"/>
        <v>0</v>
      </c>
      <c r="O73" s="532">
        <f t="shared" si="16"/>
        <v>0</v>
      </c>
      <c r="P73" s="279"/>
      <c r="R73" s="244"/>
      <c r="S73" s="244"/>
      <c r="T73" s="244"/>
      <c r="U73" s="244"/>
    </row>
    <row r="74" spans="2:21">
      <c r="C74" s="350" t="s">
        <v>75</v>
      </c>
      <c r="D74" s="295"/>
      <c r="E74" s="295">
        <f>SUM(E17:E73)</f>
        <v>45573.039110189922</v>
      </c>
      <c r="F74" s="295"/>
      <c r="G74" s="295">
        <f>SUM(G17:G73)</f>
        <v>423078.95453720703</v>
      </c>
      <c r="H74" s="295">
        <f>SUM(H17:H73)</f>
        <v>423078.95453720703</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5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0</v>
      </c>
      <c r="N89" s="549">
        <f>IF(J93&lt;D11,0,VLOOKUP(J93,C100:P155,7))</f>
        <v>0</v>
      </c>
      <c r="O89" s="550">
        <f>+N89-M89</f>
        <v>0</v>
      </c>
      <c r="P89" s="244"/>
      <c r="Q89" s="244"/>
      <c r="R89" s="244"/>
      <c r="S89" s="244"/>
      <c r="T89" s="244"/>
      <c r="U89" s="244"/>
    </row>
    <row r="90" spans="1:21" ht="13.5" thickBot="1">
      <c r="C90" s="455" t="s">
        <v>82</v>
      </c>
      <c r="D90" s="551" t="str">
        <f>+D7</f>
        <v>Install 345kV terminal at Valliant***</v>
      </c>
      <c r="E90" s="244"/>
      <c r="F90" s="244"/>
      <c r="G90" s="244"/>
      <c r="H90" s="244"/>
      <c r="I90" s="326"/>
      <c r="J90" s="326"/>
      <c r="K90" s="552"/>
      <c r="L90" s="553" t="s">
        <v>135</v>
      </c>
      <c r="M90" s="554">
        <f>+M89-M88</f>
        <v>0</v>
      </c>
      <c r="N90" s="554">
        <f>+N89-N88</f>
        <v>0</v>
      </c>
      <c r="O90" s="555">
        <f>+O89-O88</f>
        <v>0</v>
      </c>
      <c r="P90" s="244"/>
      <c r="Q90" s="244"/>
      <c r="R90" s="244"/>
      <c r="S90" s="244"/>
      <c r="T90" s="244"/>
      <c r="U90" s="244"/>
    </row>
    <row r="91" spans="1:21" ht="13.5" thickBot="1">
      <c r="C91" s="533"/>
      <c r="D91" s="605" t="s">
        <v>210</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TP2007167</v>
      </c>
      <c r="E92" s="559"/>
      <c r="F92" s="559"/>
      <c r="G92" s="559"/>
      <c r="H92" s="559"/>
      <c r="I92" s="559"/>
      <c r="J92" s="559"/>
      <c r="K92" s="561"/>
      <c r="P92" s="469"/>
      <c r="Q92" s="244"/>
      <c r="R92" s="244"/>
      <c r="S92" s="244"/>
      <c r="T92" s="244"/>
      <c r="U92" s="244"/>
    </row>
    <row r="93" spans="1:21">
      <c r="C93" s="473" t="s">
        <v>49</v>
      </c>
      <c r="D93" s="583">
        <f>IF(D11=I10,0,D10)</f>
        <v>0</v>
      </c>
      <c r="E93" s="249" t="s">
        <v>84</v>
      </c>
      <c r="H93" s="409"/>
      <c r="I93" s="409"/>
      <c r="J93" s="472">
        <f>+'OKT.WS.G.BPU.ATRR.True-up'!M16</f>
        <v>2021</v>
      </c>
      <c r="K93" s="468"/>
      <c r="L93" s="295" t="s">
        <v>85</v>
      </c>
      <c r="P93" s="279"/>
      <c r="Q93" s="244"/>
      <c r="R93" s="244"/>
      <c r="S93" s="244"/>
      <c r="T93" s="244"/>
      <c r="U93" s="244"/>
    </row>
    <row r="94" spans="1:21">
      <c r="C94" s="473" t="s">
        <v>52</v>
      </c>
      <c r="D94" s="562">
        <f>IF(D11=I10,"",D11)</f>
        <v>2012</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f>IF(D11=I10,"",D12)</f>
        <v>4</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0</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31" si="17">IF(D100=F99,"","IU")</f>
        <v>IU</v>
      </c>
      <c r="C100" s="496">
        <f>IF(D94= "","-",D94)</f>
        <v>2012</v>
      </c>
      <c r="D100" s="350">
        <f>IF(D94=C100,0,IF(D93&lt;100000,0,D93))</f>
        <v>0</v>
      </c>
      <c r="E100" s="512">
        <f>IF(OR(D11=I10,D93&lt;100000),0,J97/12*(12-D95))</f>
        <v>0</v>
      </c>
      <c r="F100" s="511">
        <f>IF(D94=C100,+D93-E100,+D100-E100)</f>
        <v>0</v>
      </c>
      <c r="G100" s="606">
        <f t="shared" ref="G100:G131" si="18">+(F100+D100)/2</f>
        <v>0</v>
      </c>
      <c r="H100" s="606">
        <f t="shared" ref="H100:H131" si="19">+J$95*G100+E100</f>
        <v>0</v>
      </c>
      <c r="I100" s="606">
        <f t="shared" ref="I100:I131" si="20">+J$96*G100+E100</f>
        <v>0</v>
      </c>
      <c r="J100" s="505">
        <f t="shared" ref="J100:J131" si="21">+I100-H100</f>
        <v>0</v>
      </c>
      <c r="K100" s="505"/>
      <c r="L100" s="607"/>
      <c r="M100" s="504">
        <f t="shared" ref="M100:M131" si="22">IF(L100&lt;&gt;0,+H100-L100,0)</f>
        <v>0</v>
      </c>
      <c r="N100" s="607"/>
      <c r="O100" s="504">
        <f t="shared" ref="O100:O131" si="23">IF(N100&lt;&gt;0,+I100-N100,0)</f>
        <v>0</v>
      </c>
      <c r="P100" s="504">
        <f t="shared" ref="P100:P131" si="24">+O100-M100</f>
        <v>0</v>
      </c>
      <c r="Q100" s="244"/>
      <c r="R100" s="244"/>
      <c r="S100" s="244"/>
      <c r="T100" s="244"/>
      <c r="U100" s="244"/>
    </row>
    <row r="101" spans="1:21">
      <c r="B101" s="145" t="str">
        <f t="shared" si="17"/>
        <v/>
      </c>
      <c r="C101" s="496">
        <f>IF(D94="","-",+C100+1)</f>
        <v>2013</v>
      </c>
      <c r="D101" s="350">
        <f>IF(F100+SUM(E$100:E100)=D$93,F100,D$93-SUM(E$100:E100))</f>
        <v>0</v>
      </c>
      <c r="E101" s="510">
        <f>IF(+J97&lt;F100,J97,D101)</f>
        <v>0</v>
      </c>
      <c r="F101" s="511">
        <f t="shared" ref="F101:F132" si="25">+D101-E101</f>
        <v>0</v>
      </c>
      <c r="G101" s="511">
        <f t="shared" si="18"/>
        <v>0</v>
      </c>
      <c r="H101" s="524">
        <f t="shared" si="19"/>
        <v>0</v>
      </c>
      <c r="I101" s="573">
        <f t="shared" si="20"/>
        <v>0</v>
      </c>
      <c r="J101" s="505">
        <f t="shared" si="21"/>
        <v>0</v>
      </c>
      <c r="K101" s="505"/>
      <c r="L101" s="513"/>
      <c r="M101" s="505">
        <f t="shared" si="22"/>
        <v>0</v>
      </c>
      <c r="N101" s="513"/>
      <c r="O101" s="505">
        <f t="shared" si="23"/>
        <v>0</v>
      </c>
      <c r="P101" s="505">
        <f t="shared" si="24"/>
        <v>0</v>
      </c>
      <c r="Q101" s="244"/>
      <c r="R101" s="244"/>
      <c r="S101" s="244"/>
      <c r="T101" s="244"/>
      <c r="U101" s="244"/>
    </row>
    <row r="102" spans="1:21">
      <c r="B102" s="145" t="str">
        <f t="shared" si="17"/>
        <v/>
      </c>
      <c r="C102" s="496">
        <f>IF(D94="","-",+C101+1)</f>
        <v>2014</v>
      </c>
      <c r="D102" s="350">
        <f>IF(F101+SUM(E$100:E101)=D$93,F101,D$93-SUM(E$100:E101))</f>
        <v>0</v>
      </c>
      <c r="E102" s="510">
        <f>IF(+J97&lt;F101,J97,D102)</f>
        <v>0</v>
      </c>
      <c r="F102" s="511">
        <f t="shared" si="25"/>
        <v>0</v>
      </c>
      <c r="G102" s="511">
        <f t="shared" si="18"/>
        <v>0</v>
      </c>
      <c r="H102" s="524">
        <f t="shared" si="19"/>
        <v>0</v>
      </c>
      <c r="I102" s="573">
        <f t="shared" si="20"/>
        <v>0</v>
      </c>
      <c r="J102" s="505">
        <f t="shared" si="21"/>
        <v>0</v>
      </c>
      <c r="K102" s="505"/>
      <c r="L102" s="513"/>
      <c r="M102" s="505">
        <f t="shared" si="22"/>
        <v>0</v>
      </c>
      <c r="N102" s="513"/>
      <c r="O102" s="505">
        <f t="shared" si="23"/>
        <v>0</v>
      </c>
      <c r="P102" s="505">
        <f t="shared" si="24"/>
        <v>0</v>
      </c>
      <c r="Q102" s="244"/>
      <c r="R102" s="244"/>
      <c r="S102" s="244"/>
      <c r="T102" s="244"/>
      <c r="U102" s="244"/>
    </row>
    <row r="103" spans="1:21">
      <c r="B103" s="145" t="str">
        <f t="shared" si="17"/>
        <v/>
      </c>
      <c r="C103" s="496">
        <f>IF(D94="","-",+C102+1)</f>
        <v>2015</v>
      </c>
      <c r="D103" s="350">
        <f>IF(F102+SUM(E$100:E102)=D$93,F102,D$93-SUM(E$100:E102))</f>
        <v>0</v>
      </c>
      <c r="E103" s="510">
        <f>IF(+J97&lt;F102,J97,D103)</f>
        <v>0</v>
      </c>
      <c r="F103" s="511">
        <f t="shared" si="25"/>
        <v>0</v>
      </c>
      <c r="G103" s="511">
        <f t="shared" si="18"/>
        <v>0</v>
      </c>
      <c r="H103" s="524">
        <f t="shared" si="19"/>
        <v>0</v>
      </c>
      <c r="I103" s="573">
        <f t="shared" si="20"/>
        <v>0</v>
      </c>
      <c r="J103" s="505">
        <f t="shared" si="21"/>
        <v>0</v>
      </c>
      <c r="K103" s="505"/>
      <c r="L103" s="513"/>
      <c r="M103" s="505">
        <f t="shared" si="22"/>
        <v>0</v>
      </c>
      <c r="N103" s="513"/>
      <c r="O103" s="505">
        <f t="shared" si="23"/>
        <v>0</v>
      </c>
      <c r="P103" s="505">
        <f t="shared" si="24"/>
        <v>0</v>
      </c>
      <c r="Q103" s="244"/>
      <c r="R103" s="244"/>
      <c r="S103" s="244"/>
      <c r="T103" s="244"/>
      <c r="U103" s="244"/>
    </row>
    <row r="104" spans="1:21">
      <c r="B104" s="145" t="str">
        <f t="shared" si="17"/>
        <v/>
      </c>
      <c r="C104" s="496">
        <f>IF(D94="","-",+C103+1)</f>
        <v>2016</v>
      </c>
      <c r="D104" s="350">
        <f>IF(F103+SUM(E$100:E103)=D$93,F103,D$93-SUM(E$100:E103))</f>
        <v>0</v>
      </c>
      <c r="E104" s="510">
        <f>IF(+J97&lt;F103,J97,D104)</f>
        <v>0</v>
      </c>
      <c r="F104" s="511">
        <f t="shared" si="25"/>
        <v>0</v>
      </c>
      <c r="G104" s="511">
        <f t="shared" si="18"/>
        <v>0</v>
      </c>
      <c r="H104" s="524">
        <f t="shared" si="19"/>
        <v>0</v>
      </c>
      <c r="I104" s="573">
        <f t="shared" si="20"/>
        <v>0</v>
      </c>
      <c r="J104" s="505">
        <f t="shared" si="21"/>
        <v>0</v>
      </c>
      <c r="K104" s="505"/>
      <c r="L104" s="513"/>
      <c r="M104" s="505">
        <f t="shared" si="22"/>
        <v>0</v>
      </c>
      <c r="N104" s="513"/>
      <c r="O104" s="505">
        <f t="shared" si="23"/>
        <v>0</v>
      </c>
      <c r="P104" s="505">
        <f t="shared" si="24"/>
        <v>0</v>
      </c>
      <c r="Q104" s="244"/>
      <c r="R104" s="244"/>
      <c r="S104" s="244"/>
      <c r="T104" s="244"/>
      <c r="U104" s="244"/>
    </row>
    <row r="105" spans="1:21">
      <c r="B105" s="145" t="str">
        <f t="shared" si="17"/>
        <v/>
      </c>
      <c r="C105" s="496">
        <f>IF(D94="","-",+C104+1)</f>
        <v>2017</v>
      </c>
      <c r="D105" s="350">
        <f>IF(F104+SUM(E$100:E104)=D$93,F104,D$93-SUM(E$100:E104))</f>
        <v>0</v>
      </c>
      <c r="E105" s="510">
        <f>IF(+J97&lt;F104,J97,D105)</f>
        <v>0</v>
      </c>
      <c r="F105" s="511">
        <f t="shared" si="25"/>
        <v>0</v>
      </c>
      <c r="G105" s="511">
        <f t="shared" si="18"/>
        <v>0</v>
      </c>
      <c r="H105" s="524">
        <f t="shared" si="19"/>
        <v>0</v>
      </c>
      <c r="I105" s="573">
        <f t="shared" si="20"/>
        <v>0</v>
      </c>
      <c r="J105" s="505">
        <f t="shared" si="21"/>
        <v>0</v>
      </c>
      <c r="K105" s="505"/>
      <c r="L105" s="513"/>
      <c r="M105" s="505">
        <f t="shared" si="22"/>
        <v>0</v>
      </c>
      <c r="N105" s="513"/>
      <c r="O105" s="505">
        <f t="shared" si="23"/>
        <v>0</v>
      </c>
      <c r="P105" s="505">
        <f t="shared" si="24"/>
        <v>0</v>
      </c>
      <c r="Q105" s="244"/>
      <c r="R105" s="244"/>
      <c r="S105" s="244"/>
      <c r="T105" s="244"/>
      <c r="U105" s="244"/>
    </row>
    <row r="106" spans="1:21">
      <c r="B106" s="145" t="str">
        <f t="shared" si="17"/>
        <v/>
      </c>
      <c r="C106" s="496">
        <f>IF(D94="","-",+C105+1)</f>
        <v>2018</v>
      </c>
      <c r="D106" s="350">
        <f>IF(F105+SUM(E$100:E105)=D$93,F105,D$93-SUM(E$100:E105))</f>
        <v>0</v>
      </c>
      <c r="E106" s="510">
        <f>IF(+J97&lt;F105,J97,D106)</f>
        <v>0</v>
      </c>
      <c r="F106" s="511">
        <f t="shared" si="25"/>
        <v>0</v>
      </c>
      <c r="G106" s="511">
        <f t="shared" si="18"/>
        <v>0</v>
      </c>
      <c r="H106" s="524">
        <f t="shared" si="19"/>
        <v>0</v>
      </c>
      <c r="I106" s="573">
        <f t="shared" si="20"/>
        <v>0</v>
      </c>
      <c r="J106" s="505">
        <f t="shared" si="21"/>
        <v>0</v>
      </c>
      <c r="K106" s="505"/>
      <c r="L106" s="513"/>
      <c r="M106" s="505">
        <f t="shared" si="22"/>
        <v>0</v>
      </c>
      <c r="N106" s="513"/>
      <c r="O106" s="505">
        <f t="shared" si="23"/>
        <v>0</v>
      </c>
      <c r="P106" s="505">
        <f t="shared" si="24"/>
        <v>0</v>
      </c>
      <c r="Q106" s="244"/>
      <c r="R106" s="244"/>
      <c r="S106" s="244"/>
      <c r="T106" s="244"/>
      <c r="U106" s="244"/>
    </row>
    <row r="107" spans="1:21">
      <c r="B107" s="145" t="str">
        <f t="shared" si="17"/>
        <v/>
      </c>
      <c r="C107" s="496">
        <f>IF(D94="","-",+C106+1)</f>
        <v>2019</v>
      </c>
      <c r="D107" s="350">
        <f>IF(F106+SUM(E$100:E106)=D$93,F106,D$93-SUM(E$100:E106))</f>
        <v>0</v>
      </c>
      <c r="E107" s="510">
        <f>IF(+J97&lt;F106,J97,D107)</f>
        <v>0</v>
      </c>
      <c r="F107" s="511">
        <f t="shared" si="25"/>
        <v>0</v>
      </c>
      <c r="G107" s="511">
        <f t="shared" si="18"/>
        <v>0</v>
      </c>
      <c r="H107" s="524">
        <f t="shared" si="19"/>
        <v>0</v>
      </c>
      <c r="I107" s="573">
        <f t="shared" si="20"/>
        <v>0</v>
      </c>
      <c r="J107" s="505">
        <f t="shared" si="21"/>
        <v>0</v>
      </c>
      <c r="K107" s="505"/>
      <c r="L107" s="513"/>
      <c r="M107" s="505">
        <f t="shared" si="22"/>
        <v>0</v>
      </c>
      <c r="N107" s="513"/>
      <c r="O107" s="505">
        <f t="shared" si="23"/>
        <v>0</v>
      </c>
      <c r="P107" s="505">
        <f t="shared" si="24"/>
        <v>0</v>
      </c>
      <c r="Q107" s="244"/>
      <c r="R107" s="244"/>
      <c r="S107" s="244"/>
      <c r="T107" s="244"/>
      <c r="U107" s="244"/>
    </row>
    <row r="108" spans="1:21">
      <c r="B108" s="145" t="str">
        <f t="shared" si="17"/>
        <v/>
      </c>
      <c r="C108" s="496">
        <f>IF(D94="","-",+C107+1)</f>
        <v>2020</v>
      </c>
      <c r="D108" s="350">
        <f>IF(F107+SUM(E$100:E107)=D$93,F107,D$93-SUM(E$100:E107))</f>
        <v>0</v>
      </c>
      <c r="E108" s="510">
        <f>IF(+J97&lt;F107,J97,D108)</f>
        <v>0</v>
      </c>
      <c r="F108" s="511">
        <f t="shared" si="25"/>
        <v>0</v>
      </c>
      <c r="G108" s="511">
        <f t="shared" si="18"/>
        <v>0</v>
      </c>
      <c r="H108" s="524">
        <f t="shared" si="19"/>
        <v>0</v>
      </c>
      <c r="I108" s="573">
        <f t="shared" si="20"/>
        <v>0</v>
      </c>
      <c r="J108" s="505">
        <f t="shared" si="21"/>
        <v>0</v>
      </c>
      <c r="K108" s="505"/>
      <c r="L108" s="513"/>
      <c r="M108" s="505">
        <f t="shared" si="22"/>
        <v>0</v>
      </c>
      <c r="N108" s="513"/>
      <c r="O108" s="505">
        <f t="shared" si="23"/>
        <v>0</v>
      </c>
      <c r="P108" s="505">
        <f t="shared" si="24"/>
        <v>0</v>
      </c>
      <c r="Q108" s="244"/>
      <c r="R108" s="244"/>
      <c r="S108" s="244"/>
      <c r="T108" s="244"/>
      <c r="U108" s="244"/>
    </row>
    <row r="109" spans="1:21">
      <c r="B109" s="145" t="str">
        <f t="shared" si="17"/>
        <v/>
      </c>
      <c r="C109" s="496">
        <f>IF(D94="","-",+C108+1)</f>
        <v>2021</v>
      </c>
      <c r="D109" s="350">
        <f>IF(F108+SUM(E$100:E108)=D$93,F108,D$93-SUM(E$100:E108))</f>
        <v>0</v>
      </c>
      <c r="E109" s="510">
        <f>IF(+J97&lt;F108,J97,D109)</f>
        <v>0</v>
      </c>
      <c r="F109" s="511">
        <f t="shared" si="25"/>
        <v>0</v>
      </c>
      <c r="G109" s="511">
        <f t="shared" si="18"/>
        <v>0</v>
      </c>
      <c r="H109" s="524">
        <f t="shared" si="19"/>
        <v>0</v>
      </c>
      <c r="I109" s="573">
        <f t="shared" si="20"/>
        <v>0</v>
      </c>
      <c r="J109" s="505">
        <f t="shared" si="21"/>
        <v>0</v>
      </c>
      <c r="K109" s="505"/>
      <c r="L109" s="513"/>
      <c r="M109" s="505">
        <f t="shared" si="22"/>
        <v>0</v>
      </c>
      <c r="N109" s="513"/>
      <c r="O109" s="505">
        <f t="shared" si="23"/>
        <v>0</v>
      </c>
      <c r="P109" s="505">
        <f t="shared" si="24"/>
        <v>0</v>
      </c>
      <c r="Q109" s="244"/>
      <c r="R109" s="244"/>
      <c r="S109" s="244"/>
      <c r="T109" s="244"/>
      <c r="U109" s="244"/>
    </row>
    <row r="110" spans="1:21">
      <c r="B110" s="145" t="str">
        <f t="shared" si="17"/>
        <v/>
      </c>
      <c r="C110" s="496">
        <f>IF(D94="","-",+C109+1)</f>
        <v>2022</v>
      </c>
      <c r="D110" s="350">
        <f>IF(F109+SUM(E$100:E109)=D$93,F109,D$93-SUM(E$100:E109))</f>
        <v>0</v>
      </c>
      <c r="E110" s="510">
        <f>IF(+J97&lt;F109,J97,D110)</f>
        <v>0</v>
      </c>
      <c r="F110" s="511">
        <f t="shared" si="25"/>
        <v>0</v>
      </c>
      <c r="G110" s="511">
        <f t="shared" si="18"/>
        <v>0</v>
      </c>
      <c r="H110" s="524">
        <f t="shared" si="19"/>
        <v>0</v>
      </c>
      <c r="I110" s="573">
        <f t="shared" si="20"/>
        <v>0</v>
      </c>
      <c r="J110" s="505">
        <f t="shared" si="21"/>
        <v>0</v>
      </c>
      <c r="K110" s="505"/>
      <c r="L110" s="513"/>
      <c r="M110" s="505">
        <f t="shared" si="22"/>
        <v>0</v>
      </c>
      <c r="N110" s="513"/>
      <c r="O110" s="505">
        <f t="shared" si="23"/>
        <v>0</v>
      </c>
      <c r="P110" s="505">
        <f t="shared" si="24"/>
        <v>0</v>
      </c>
      <c r="Q110" s="244"/>
      <c r="R110" s="244"/>
      <c r="S110" s="244"/>
      <c r="T110" s="244"/>
      <c r="U110" s="244"/>
    </row>
    <row r="111" spans="1:21">
      <c r="B111" s="145" t="str">
        <f t="shared" si="17"/>
        <v/>
      </c>
      <c r="C111" s="496">
        <f>IF(D94="","-",+C110+1)</f>
        <v>2023</v>
      </c>
      <c r="D111" s="350">
        <f>IF(F110+SUM(E$100:E110)=D$93,F110,D$93-SUM(E$100:E110))</f>
        <v>0</v>
      </c>
      <c r="E111" s="510">
        <f>IF(+J97&lt;F110,J97,D111)</f>
        <v>0</v>
      </c>
      <c r="F111" s="511">
        <f t="shared" si="25"/>
        <v>0</v>
      </c>
      <c r="G111" s="511">
        <f t="shared" si="18"/>
        <v>0</v>
      </c>
      <c r="H111" s="524">
        <f t="shared" si="19"/>
        <v>0</v>
      </c>
      <c r="I111" s="573">
        <f t="shared" si="20"/>
        <v>0</v>
      </c>
      <c r="J111" s="505">
        <f t="shared" si="21"/>
        <v>0</v>
      </c>
      <c r="K111" s="505"/>
      <c r="L111" s="513"/>
      <c r="M111" s="505">
        <f t="shared" si="22"/>
        <v>0</v>
      </c>
      <c r="N111" s="513"/>
      <c r="O111" s="505">
        <f t="shared" si="23"/>
        <v>0</v>
      </c>
      <c r="P111" s="505">
        <f t="shared" si="24"/>
        <v>0</v>
      </c>
      <c r="Q111" s="244"/>
      <c r="R111" s="244"/>
      <c r="S111" s="244"/>
      <c r="T111" s="244"/>
      <c r="U111" s="244"/>
    </row>
    <row r="112" spans="1:21">
      <c r="B112" s="145" t="str">
        <f t="shared" si="17"/>
        <v/>
      </c>
      <c r="C112" s="496">
        <f>IF(D94="","-",+C111+1)</f>
        <v>2024</v>
      </c>
      <c r="D112" s="350">
        <f>IF(F111+SUM(E$100:E111)=D$93,F111,D$93-SUM(E$100:E111))</f>
        <v>0</v>
      </c>
      <c r="E112" s="510">
        <f>IF(+J97&lt;F111,J97,D112)</f>
        <v>0</v>
      </c>
      <c r="F112" s="511">
        <f t="shared" si="25"/>
        <v>0</v>
      </c>
      <c r="G112" s="511">
        <f t="shared" si="18"/>
        <v>0</v>
      </c>
      <c r="H112" s="524">
        <f t="shared" si="19"/>
        <v>0</v>
      </c>
      <c r="I112" s="573">
        <f t="shared" si="20"/>
        <v>0</v>
      </c>
      <c r="J112" s="505">
        <f t="shared" si="21"/>
        <v>0</v>
      </c>
      <c r="K112" s="505"/>
      <c r="L112" s="513"/>
      <c r="M112" s="505">
        <f t="shared" si="22"/>
        <v>0</v>
      </c>
      <c r="N112" s="513"/>
      <c r="O112" s="505">
        <f t="shared" si="23"/>
        <v>0</v>
      </c>
      <c r="P112" s="505">
        <f t="shared" si="24"/>
        <v>0</v>
      </c>
      <c r="Q112" s="244"/>
      <c r="R112" s="244"/>
      <c r="S112" s="244"/>
      <c r="T112" s="244"/>
      <c r="U112" s="244"/>
    </row>
    <row r="113" spans="2:21">
      <c r="B113" s="145" t="str">
        <f t="shared" si="17"/>
        <v/>
      </c>
      <c r="C113" s="496">
        <f>IF(D94="","-",+C112+1)</f>
        <v>2025</v>
      </c>
      <c r="D113" s="350">
        <f>IF(F112+SUM(E$100:E112)=D$93,F112,D$93-SUM(E$100:E112))</f>
        <v>0</v>
      </c>
      <c r="E113" s="510">
        <f>IF(+J97&lt;F112,J97,D113)</f>
        <v>0</v>
      </c>
      <c r="F113" s="511">
        <f t="shared" si="25"/>
        <v>0</v>
      </c>
      <c r="G113" s="511">
        <f t="shared" si="18"/>
        <v>0</v>
      </c>
      <c r="H113" s="524">
        <f t="shared" si="19"/>
        <v>0</v>
      </c>
      <c r="I113" s="573">
        <f t="shared" si="20"/>
        <v>0</v>
      </c>
      <c r="J113" s="505">
        <f t="shared" si="21"/>
        <v>0</v>
      </c>
      <c r="K113" s="505"/>
      <c r="L113" s="513"/>
      <c r="M113" s="505">
        <f t="shared" si="22"/>
        <v>0</v>
      </c>
      <c r="N113" s="513"/>
      <c r="O113" s="505">
        <f t="shared" si="23"/>
        <v>0</v>
      </c>
      <c r="P113" s="505">
        <f t="shared" si="24"/>
        <v>0</v>
      </c>
      <c r="Q113" s="244"/>
      <c r="R113" s="244"/>
      <c r="S113" s="244"/>
      <c r="T113" s="244"/>
      <c r="U113" s="244"/>
    </row>
    <row r="114" spans="2:21">
      <c r="B114" s="145" t="str">
        <f t="shared" si="17"/>
        <v/>
      </c>
      <c r="C114" s="496">
        <f>IF(D94="","-",+C113+1)</f>
        <v>2026</v>
      </c>
      <c r="D114" s="350">
        <f>IF(F113+SUM(E$100:E113)=D$93,F113,D$93-SUM(E$100:E113))</f>
        <v>0</v>
      </c>
      <c r="E114" s="510">
        <f>IF(+J97&lt;F113,J97,D114)</f>
        <v>0</v>
      </c>
      <c r="F114" s="511">
        <f t="shared" si="25"/>
        <v>0</v>
      </c>
      <c r="G114" s="511">
        <f t="shared" si="18"/>
        <v>0</v>
      </c>
      <c r="H114" s="524">
        <f t="shared" si="19"/>
        <v>0</v>
      </c>
      <c r="I114" s="573">
        <f t="shared" si="20"/>
        <v>0</v>
      </c>
      <c r="J114" s="505">
        <f t="shared" si="21"/>
        <v>0</v>
      </c>
      <c r="K114" s="505"/>
      <c r="L114" s="513"/>
      <c r="M114" s="505">
        <f t="shared" si="22"/>
        <v>0</v>
      </c>
      <c r="N114" s="513"/>
      <c r="O114" s="505">
        <f t="shared" si="23"/>
        <v>0</v>
      </c>
      <c r="P114" s="505">
        <f t="shared" si="24"/>
        <v>0</v>
      </c>
      <c r="Q114" s="244"/>
      <c r="R114" s="244"/>
      <c r="S114" s="244"/>
      <c r="T114" s="244"/>
      <c r="U114" s="244"/>
    </row>
    <row r="115" spans="2:21">
      <c r="B115" s="145" t="str">
        <f t="shared" si="17"/>
        <v/>
      </c>
      <c r="C115" s="496">
        <f>IF(D94="","-",+C114+1)</f>
        <v>2027</v>
      </c>
      <c r="D115" s="350">
        <f>IF(F114+SUM(E$100:E114)=D$93,F114,D$93-SUM(E$100:E114))</f>
        <v>0</v>
      </c>
      <c r="E115" s="510">
        <f>IF(+J97&lt;F114,J97,D115)</f>
        <v>0</v>
      </c>
      <c r="F115" s="511">
        <f t="shared" si="25"/>
        <v>0</v>
      </c>
      <c r="G115" s="511">
        <f t="shared" si="18"/>
        <v>0</v>
      </c>
      <c r="H115" s="524">
        <f t="shared" si="19"/>
        <v>0</v>
      </c>
      <c r="I115" s="573">
        <f t="shared" si="20"/>
        <v>0</v>
      </c>
      <c r="J115" s="505">
        <f t="shared" si="21"/>
        <v>0</v>
      </c>
      <c r="K115" s="505"/>
      <c r="L115" s="513"/>
      <c r="M115" s="505">
        <f t="shared" si="22"/>
        <v>0</v>
      </c>
      <c r="N115" s="513"/>
      <c r="O115" s="505">
        <f t="shared" si="23"/>
        <v>0</v>
      </c>
      <c r="P115" s="505">
        <f t="shared" si="24"/>
        <v>0</v>
      </c>
      <c r="Q115" s="244"/>
      <c r="R115" s="244"/>
      <c r="S115" s="244"/>
      <c r="T115" s="244"/>
      <c r="U115" s="244"/>
    </row>
    <row r="116" spans="2:21">
      <c r="B116" s="145" t="str">
        <f t="shared" si="17"/>
        <v/>
      </c>
      <c r="C116" s="496">
        <f>IF(D94="","-",+C115+1)</f>
        <v>2028</v>
      </c>
      <c r="D116" s="350">
        <f>IF(F115+SUM(E$100:E115)=D$93,F115,D$93-SUM(E$100:E115))</f>
        <v>0</v>
      </c>
      <c r="E116" s="510">
        <f>IF(+J97&lt;F115,J97,D116)</f>
        <v>0</v>
      </c>
      <c r="F116" s="511">
        <f t="shared" si="25"/>
        <v>0</v>
      </c>
      <c r="G116" s="511">
        <f t="shared" si="18"/>
        <v>0</v>
      </c>
      <c r="H116" s="524">
        <f t="shared" si="19"/>
        <v>0</v>
      </c>
      <c r="I116" s="573">
        <f t="shared" si="20"/>
        <v>0</v>
      </c>
      <c r="J116" s="505">
        <f t="shared" si="21"/>
        <v>0</v>
      </c>
      <c r="K116" s="505"/>
      <c r="L116" s="513"/>
      <c r="M116" s="505">
        <f t="shared" si="22"/>
        <v>0</v>
      </c>
      <c r="N116" s="513"/>
      <c r="O116" s="505">
        <f t="shared" si="23"/>
        <v>0</v>
      </c>
      <c r="P116" s="505">
        <f t="shared" si="24"/>
        <v>0</v>
      </c>
      <c r="Q116" s="244"/>
      <c r="R116" s="244"/>
      <c r="S116" s="244"/>
      <c r="T116" s="244"/>
      <c r="U116" s="244"/>
    </row>
    <row r="117" spans="2:21">
      <c r="B117" s="145" t="str">
        <f t="shared" si="17"/>
        <v/>
      </c>
      <c r="C117" s="496">
        <f>IF(D94="","-",+C116+1)</f>
        <v>2029</v>
      </c>
      <c r="D117" s="350">
        <f>IF(F116+SUM(E$100:E116)=D$93,F116,D$93-SUM(E$100:E116))</f>
        <v>0</v>
      </c>
      <c r="E117" s="510">
        <f>IF(+J97&lt;F116,J97,D117)</f>
        <v>0</v>
      </c>
      <c r="F117" s="511">
        <f t="shared" si="25"/>
        <v>0</v>
      </c>
      <c r="G117" s="511">
        <f t="shared" si="18"/>
        <v>0</v>
      </c>
      <c r="H117" s="524">
        <f t="shared" si="19"/>
        <v>0</v>
      </c>
      <c r="I117" s="573">
        <f t="shared" si="20"/>
        <v>0</v>
      </c>
      <c r="J117" s="505">
        <f t="shared" si="21"/>
        <v>0</v>
      </c>
      <c r="K117" s="505"/>
      <c r="L117" s="513"/>
      <c r="M117" s="505">
        <f t="shared" si="22"/>
        <v>0</v>
      </c>
      <c r="N117" s="513"/>
      <c r="O117" s="505">
        <f t="shared" si="23"/>
        <v>0</v>
      </c>
      <c r="P117" s="505">
        <f t="shared" si="24"/>
        <v>0</v>
      </c>
      <c r="Q117" s="244"/>
      <c r="R117" s="244"/>
      <c r="S117" s="244"/>
      <c r="T117" s="244"/>
      <c r="U117" s="244"/>
    </row>
    <row r="118" spans="2:21">
      <c r="B118" s="145" t="str">
        <f t="shared" si="17"/>
        <v/>
      </c>
      <c r="C118" s="496">
        <f>IF(D94="","-",+C117+1)</f>
        <v>2030</v>
      </c>
      <c r="D118" s="350">
        <f>IF(F117+SUM(E$100:E117)=D$93,F117,D$93-SUM(E$100:E117))</f>
        <v>0</v>
      </c>
      <c r="E118" s="510">
        <f>IF(+J97&lt;F117,J97,D118)</f>
        <v>0</v>
      </c>
      <c r="F118" s="511">
        <f t="shared" si="25"/>
        <v>0</v>
      </c>
      <c r="G118" s="511">
        <f t="shared" si="18"/>
        <v>0</v>
      </c>
      <c r="H118" s="524">
        <f t="shared" si="19"/>
        <v>0</v>
      </c>
      <c r="I118" s="573">
        <f t="shared" si="20"/>
        <v>0</v>
      </c>
      <c r="J118" s="505">
        <f t="shared" si="21"/>
        <v>0</v>
      </c>
      <c r="K118" s="505"/>
      <c r="L118" s="513"/>
      <c r="M118" s="505">
        <f t="shared" si="22"/>
        <v>0</v>
      </c>
      <c r="N118" s="513"/>
      <c r="O118" s="505">
        <f t="shared" si="23"/>
        <v>0</v>
      </c>
      <c r="P118" s="505">
        <f t="shared" si="24"/>
        <v>0</v>
      </c>
      <c r="Q118" s="244"/>
      <c r="R118" s="244"/>
      <c r="S118" s="244"/>
      <c r="T118" s="244"/>
      <c r="U118" s="244"/>
    </row>
    <row r="119" spans="2:21">
      <c r="B119" s="145" t="str">
        <f t="shared" si="17"/>
        <v/>
      </c>
      <c r="C119" s="496">
        <f>IF(D94="","-",+C118+1)</f>
        <v>2031</v>
      </c>
      <c r="D119" s="350">
        <f>IF(F118+SUM(E$100:E118)=D$93,F118,D$93-SUM(E$100:E118))</f>
        <v>0</v>
      </c>
      <c r="E119" s="510">
        <f>IF(+J97&lt;F118,J97,D119)</f>
        <v>0</v>
      </c>
      <c r="F119" s="511">
        <f t="shared" si="25"/>
        <v>0</v>
      </c>
      <c r="G119" s="511">
        <f t="shared" si="18"/>
        <v>0</v>
      </c>
      <c r="H119" s="524">
        <f t="shared" si="19"/>
        <v>0</v>
      </c>
      <c r="I119" s="573">
        <f t="shared" si="20"/>
        <v>0</v>
      </c>
      <c r="J119" s="505">
        <f t="shared" si="21"/>
        <v>0</v>
      </c>
      <c r="K119" s="505"/>
      <c r="L119" s="513"/>
      <c r="M119" s="505">
        <f t="shared" si="22"/>
        <v>0</v>
      </c>
      <c r="N119" s="513"/>
      <c r="O119" s="505">
        <f t="shared" si="23"/>
        <v>0</v>
      </c>
      <c r="P119" s="505">
        <f t="shared" si="24"/>
        <v>0</v>
      </c>
      <c r="Q119" s="244"/>
      <c r="R119" s="244"/>
      <c r="S119" s="244"/>
      <c r="T119" s="244"/>
      <c r="U119" s="244"/>
    </row>
    <row r="120" spans="2:21">
      <c r="B120" s="145" t="str">
        <f t="shared" si="17"/>
        <v/>
      </c>
      <c r="C120" s="496">
        <f>IF(D94="","-",+C119+1)</f>
        <v>2032</v>
      </c>
      <c r="D120" s="350">
        <f>IF(F119+SUM(E$100:E119)=D$93,F119,D$93-SUM(E$100:E119))</f>
        <v>0</v>
      </c>
      <c r="E120" s="510">
        <f>IF(+J97&lt;F119,J97,D120)</f>
        <v>0</v>
      </c>
      <c r="F120" s="511">
        <f t="shared" si="25"/>
        <v>0</v>
      </c>
      <c r="G120" s="511">
        <f t="shared" si="18"/>
        <v>0</v>
      </c>
      <c r="H120" s="524">
        <f t="shared" si="19"/>
        <v>0</v>
      </c>
      <c r="I120" s="573">
        <f t="shared" si="20"/>
        <v>0</v>
      </c>
      <c r="J120" s="505">
        <f t="shared" si="21"/>
        <v>0</v>
      </c>
      <c r="K120" s="505"/>
      <c r="L120" s="513"/>
      <c r="M120" s="505">
        <f t="shared" si="22"/>
        <v>0</v>
      </c>
      <c r="N120" s="513"/>
      <c r="O120" s="505">
        <f t="shared" si="23"/>
        <v>0</v>
      </c>
      <c r="P120" s="505">
        <f t="shared" si="24"/>
        <v>0</v>
      </c>
      <c r="Q120" s="244"/>
      <c r="R120" s="244"/>
      <c r="S120" s="244"/>
      <c r="T120" s="244"/>
      <c r="U120" s="244"/>
    </row>
    <row r="121" spans="2:21">
      <c r="B121" s="145" t="str">
        <f t="shared" si="17"/>
        <v/>
      </c>
      <c r="C121" s="496">
        <f>IF(D94="","-",+C120+1)</f>
        <v>2033</v>
      </c>
      <c r="D121" s="350">
        <f>IF(F120+SUM(E$100:E120)=D$93,F120,D$93-SUM(E$100:E120))</f>
        <v>0</v>
      </c>
      <c r="E121" s="510">
        <f>IF(+J97&lt;F120,J97,D121)</f>
        <v>0</v>
      </c>
      <c r="F121" s="511">
        <f t="shared" si="25"/>
        <v>0</v>
      </c>
      <c r="G121" s="511">
        <f t="shared" si="18"/>
        <v>0</v>
      </c>
      <c r="H121" s="524">
        <f t="shared" si="19"/>
        <v>0</v>
      </c>
      <c r="I121" s="573">
        <f t="shared" si="20"/>
        <v>0</v>
      </c>
      <c r="J121" s="505">
        <f t="shared" si="21"/>
        <v>0</v>
      </c>
      <c r="K121" s="505"/>
      <c r="L121" s="513"/>
      <c r="M121" s="505">
        <f t="shared" si="22"/>
        <v>0</v>
      </c>
      <c r="N121" s="513"/>
      <c r="O121" s="505">
        <f t="shared" si="23"/>
        <v>0</v>
      </c>
      <c r="P121" s="505">
        <f t="shared" si="24"/>
        <v>0</v>
      </c>
      <c r="Q121" s="244"/>
      <c r="R121" s="244"/>
      <c r="S121" s="244"/>
      <c r="T121" s="244"/>
      <c r="U121" s="244"/>
    </row>
    <row r="122" spans="2:21">
      <c r="B122" s="145" t="str">
        <f t="shared" si="17"/>
        <v/>
      </c>
      <c r="C122" s="496">
        <f>IF(D94="","-",+C121+1)</f>
        <v>2034</v>
      </c>
      <c r="D122" s="350">
        <f>IF(F121+SUM(E$100:E121)=D$93,F121,D$93-SUM(E$100:E121))</f>
        <v>0</v>
      </c>
      <c r="E122" s="510">
        <f>IF(+J97&lt;F121,J97,D122)</f>
        <v>0</v>
      </c>
      <c r="F122" s="511">
        <f t="shared" si="25"/>
        <v>0</v>
      </c>
      <c r="G122" s="511">
        <f t="shared" si="18"/>
        <v>0</v>
      </c>
      <c r="H122" s="524">
        <f t="shared" si="19"/>
        <v>0</v>
      </c>
      <c r="I122" s="573">
        <f t="shared" si="20"/>
        <v>0</v>
      </c>
      <c r="J122" s="505">
        <f t="shared" si="21"/>
        <v>0</v>
      </c>
      <c r="K122" s="505"/>
      <c r="L122" s="513"/>
      <c r="M122" s="505">
        <f t="shared" si="22"/>
        <v>0</v>
      </c>
      <c r="N122" s="513"/>
      <c r="O122" s="505">
        <f t="shared" si="23"/>
        <v>0</v>
      </c>
      <c r="P122" s="505">
        <f t="shared" si="24"/>
        <v>0</v>
      </c>
      <c r="Q122" s="244"/>
      <c r="R122" s="244"/>
      <c r="S122" s="244"/>
      <c r="T122" s="244"/>
      <c r="U122" s="244"/>
    </row>
    <row r="123" spans="2:21">
      <c r="B123" s="145" t="str">
        <f t="shared" si="17"/>
        <v/>
      </c>
      <c r="C123" s="496">
        <f>IF(D94="","-",+C122+1)</f>
        <v>2035</v>
      </c>
      <c r="D123" s="350">
        <f>IF(F122+SUM(E$100:E122)=D$93,F122,D$93-SUM(E$100:E122))</f>
        <v>0</v>
      </c>
      <c r="E123" s="510">
        <f>IF(+J97&lt;F122,J97,D123)</f>
        <v>0</v>
      </c>
      <c r="F123" s="511">
        <f t="shared" si="25"/>
        <v>0</v>
      </c>
      <c r="G123" s="511">
        <f t="shared" si="18"/>
        <v>0</v>
      </c>
      <c r="H123" s="524">
        <f t="shared" si="19"/>
        <v>0</v>
      </c>
      <c r="I123" s="573">
        <f t="shared" si="20"/>
        <v>0</v>
      </c>
      <c r="J123" s="505">
        <f t="shared" si="21"/>
        <v>0</v>
      </c>
      <c r="K123" s="505"/>
      <c r="L123" s="513"/>
      <c r="M123" s="505">
        <f t="shared" si="22"/>
        <v>0</v>
      </c>
      <c r="N123" s="513"/>
      <c r="O123" s="505">
        <f t="shared" si="23"/>
        <v>0</v>
      </c>
      <c r="P123" s="505">
        <f t="shared" si="24"/>
        <v>0</v>
      </c>
      <c r="Q123" s="244"/>
      <c r="R123" s="244"/>
      <c r="S123" s="244"/>
      <c r="T123" s="244"/>
      <c r="U123" s="244"/>
    </row>
    <row r="124" spans="2:21">
      <c r="B124" s="145" t="str">
        <f t="shared" si="17"/>
        <v/>
      </c>
      <c r="C124" s="496">
        <f>IF(D94="","-",+C123+1)</f>
        <v>2036</v>
      </c>
      <c r="D124" s="350">
        <f>IF(F123+SUM(E$100:E123)=D$93,F123,D$93-SUM(E$100:E123))</f>
        <v>0</v>
      </c>
      <c r="E124" s="510">
        <f>IF(+J97&lt;F123,J97,D124)</f>
        <v>0</v>
      </c>
      <c r="F124" s="511">
        <f t="shared" si="25"/>
        <v>0</v>
      </c>
      <c r="G124" s="511">
        <f t="shared" si="18"/>
        <v>0</v>
      </c>
      <c r="H124" s="524">
        <f t="shared" si="19"/>
        <v>0</v>
      </c>
      <c r="I124" s="573">
        <f t="shared" si="20"/>
        <v>0</v>
      </c>
      <c r="J124" s="505">
        <f t="shared" si="21"/>
        <v>0</v>
      </c>
      <c r="K124" s="505"/>
      <c r="L124" s="513"/>
      <c r="M124" s="505">
        <f t="shared" si="22"/>
        <v>0</v>
      </c>
      <c r="N124" s="513"/>
      <c r="O124" s="505">
        <f t="shared" si="23"/>
        <v>0</v>
      </c>
      <c r="P124" s="505">
        <f t="shared" si="24"/>
        <v>0</v>
      </c>
      <c r="Q124" s="244"/>
      <c r="R124" s="244"/>
      <c r="S124" s="244"/>
      <c r="T124" s="244"/>
      <c r="U124" s="244"/>
    </row>
    <row r="125" spans="2:21">
      <c r="B125" s="145" t="str">
        <f t="shared" si="17"/>
        <v/>
      </c>
      <c r="C125" s="496">
        <f>IF(D94="","-",+C124+1)</f>
        <v>2037</v>
      </c>
      <c r="D125" s="350">
        <f>IF(F124+SUM(E$100:E124)=D$93,F124,D$93-SUM(E$100:E124))</f>
        <v>0</v>
      </c>
      <c r="E125" s="510">
        <f>IF(+J97&lt;F124,J97,D125)</f>
        <v>0</v>
      </c>
      <c r="F125" s="511">
        <f t="shared" si="25"/>
        <v>0</v>
      </c>
      <c r="G125" s="511">
        <f t="shared" si="18"/>
        <v>0</v>
      </c>
      <c r="H125" s="524">
        <f t="shared" si="19"/>
        <v>0</v>
      </c>
      <c r="I125" s="573">
        <f t="shared" si="20"/>
        <v>0</v>
      </c>
      <c r="J125" s="505">
        <f t="shared" si="21"/>
        <v>0</v>
      </c>
      <c r="K125" s="505"/>
      <c r="L125" s="513"/>
      <c r="M125" s="505">
        <f t="shared" si="22"/>
        <v>0</v>
      </c>
      <c r="N125" s="513"/>
      <c r="O125" s="505">
        <f t="shared" si="23"/>
        <v>0</v>
      </c>
      <c r="P125" s="505">
        <f t="shared" si="24"/>
        <v>0</v>
      </c>
      <c r="Q125" s="244"/>
      <c r="R125" s="244"/>
      <c r="S125" s="244"/>
      <c r="T125" s="244"/>
      <c r="U125" s="244"/>
    </row>
    <row r="126" spans="2:21">
      <c r="B126" s="145" t="str">
        <f t="shared" si="17"/>
        <v/>
      </c>
      <c r="C126" s="496">
        <f>IF(D94="","-",+C125+1)</f>
        <v>2038</v>
      </c>
      <c r="D126" s="350">
        <f>IF(F125+SUM(E$100:E125)=D$93,F125,D$93-SUM(E$100:E125))</f>
        <v>0</v>
      </c>
      <c r="E126" s="510">
        <f>IF(+J97&lt;F125,J97,D126)</f>
        <v>0</v>
      </c>
      <c r="F126" s="511">
        <f t="shared" si="25"/>
        <v>0</v>
      </c>
      <c r="G126" s="511">
        <f t="shared" si="18"/>
        <v>0</v>
      </c>
      <c r="H126" s="524">
        <f t="shared" si="19"/>
        <v>0</v>
      </c>
      <c r="I126" s="573">
        <f t="shared" si="20"/>
        <v>0</v>
      </c>
      <c r="J126" s="505">
        <f t="shared" si="21"/>
        <v>0</v>
      </c>
      <c r="K126" s="505"/>
      <c r="L126" s="513"/>
      <c r="M126" s="505">
        <f t="shared" si="22"/>
        <v>0</v>
      </c>
      <c r="N126" s="513"/>
      <c r="O126" s="505">
        <f t="shared" si="23"/>
        <v>0</v>
      </c>
      <c r="P126" s="505">
        <f t="shared" si="24"/>
        <v>0</v>
      </c>
      <c r="Q126" s="244"/>
      <c r="R126" s="244"/>
      <c r="S126" s="244"/>
      <c r="T126" s="244"/>
      <c r="U126" s="244"/>
    </row>
    <row r="127" spans="2:21">
      <c r="B127" s="145" t="str">
        <f t="shared" si="17"/>
        <v/>
      </c>
      <c r="C127" s="496">
        <f>IF(D94="","-",+C126+1)</f>
        <v>2039</v>
      </c>
      <c r="D127" s="350">
        <f>IF(F126+SUM(E$100:E126)=D$93,F126,D$93-SUM(E$100:E126))</f>
        <v>0</v>
      </c>
      <c r="E127" s="510">
        <f>IF(+J97&lt;F126,J97,D127)</f>
        <v>0</v>
      </c>
      <c r="F127" s="511">
        <f t="shared" si="25"/>
        <v>0</v>
      </c>
      <c r="G127" s="511">
        <f t="shared" si="18"/>
        <v>0</v>
      </c>
      <c r="H127" s="524">
        <f t="shared" si="19"/>
        <v>0</v>
      </c>
      <c r="I127" s="573">
        <f t="shared" si="20"/>
        <v>0</v>
      </c>
      <c r="J127" s="505">
        <f t="shared" si="21"/>
        <v>0</v>
      </c>
      <c r="K127" s="505"/>
      <c r="L127" s="513"/>
      <c r="M127" s="505">
        <f t="shared" si="22"/>
        <v>0</v>
      </c>
      <c r="N127" s="513"/>
      <c r="O127" s="505">
        <f t="shared" si="23"/>
        <v>0</v>
      </c>
      <c r="P127" s="505">
        <f t="shared" si="24"/>
        <v>0</v>
      </c>
      <c r="Q127" s="244"/>
      <c r="R127" s="244"/>
      <c r="S127" s="244"/>
      <c r="T127" s="244"/>
      <c r="U127" s="244"/>
    </row>
    <row r="128" spans="2:21">
      <c r="B128" s="145" t="str">
        <f t="shared" si="17"/>
        <v/>
      </c>
      <c r="C128" s="496">
        <f>IF(D94="","-",+C127+1)</f>
        <v>2040</v>
      </c>
      <c r="D128" s="350">
        <f>IF(F127+SUM(E$100:E127)=D$93,F127,D$93-SUM(E$100:E127))</f>
        <v>0</v>
      </c>
      <c r="E128" s="510">
        <f>IF(+J97&lt;F127,J97,D128)</f>
        <v>0</v>
      </c>
      <c r="F128" s="511">
        <f t="shared" si="25"/>
        <v>0</v>
      </c>
      <c r="G128" s="511">
        <f t="shared" si="18"/>
        <v>0</v>
      </c>
      <c r="H128" s="524">
        <f t="shared" si="19"/>
        <v>0</v>
      </c>
      <c r="I128" s="573">
        <f t="shared" si="20"/>
        <v>0</v>
      </c>
      <c r="J128" s="505">
        <f t="shared" si="21"/>
        <v>0</v>
      </c>
      <c r="K128" s="505"/>
      <c r="L128" s="513"/>
      <c r="M128" s="505">
        <f t="shared" si="22"/>
        <v>0</v>
      </c>
      <c r="N128" s="513"/>
      <c r="O128" s="505">
        <f t="shared" si="23"/>
        <v>0</v>
      </c>
      <c r="P128" s="505">
        <f t="shared" si="24"/>
        <v>0</v>
      </c>
      <c r="Q128" s="244"/>
      <c r="R128" s="244"/>
      <c r="S128" s="244"/>
      <c r="T128" s="244"/>
      <c r="U128" s="244"/>
    </row>
    <row r="129" spans="2:21">
      <c r="B129" s="145" t="str">
        <f t="shared" si="17"/>
        <v/>
      </c>
      <c r="C129" s="496">
        <f>IF(D94="","-",+C128+1)</f>
        <v>2041</v>
      </c>
      <c r="D129" s="350">
        <f>IF(F128+SUM(E$100:E128)=D$93,F128,D$93-SUM(E$100:E128))</f>
        <v>0</v>
      </c>
      <c r="E129" s="510">
        <f>IF(+J97&lt;F128,J97,D129)</f>
        <v>0</v>
      </c>
      <c r="F129" s="511">
        <f t="shared" si="25"/>
        <v>0</v>
      </c>
      <c r="G129" s="511">
        <f t="shared" si="18"/>
        <v>0</v>
      </c>
      <c r="H129" s="524">
        <f t="shared" si="19"/>
        <v>0</v>
      </c>
      <c r="I129" s="573">
        <f t="shared" si="20"/>
        <v>0</v>
      </c>
      <c r="J129" s="505">
        <f t="shared" si="21"/>
        <v>0</v>
      </c>
      <c r="K129" s="505"/>
      <c r="L129" s="513"/>
      <c r="M129" s="505">
        <f t="shared" si="22"/>
        <v>0</v>
      </c>
      <c r="N129" s="513"/>
      <c r="O129" s="505">
        <f t="shared" si="23"/>
        <v>0</v>
      </c>
      <c r="P129" s="505">
        <f t="shared" si="24"/>
        <v>0</v>
      </c>
      <c r="Q129" s="244"/>
      <c r="R129" s="244"/>
      <c r="S129" s="244"/>
      <c r="T129" s="244"/>
      <c r="U129" s="244"/>
    </row>
    <row r="130" spans="2:21">
      <c r="B130" s="145" t="str">
        <f t="shared" si="17"/>
        <v/>
      </c>
      <c r="C130" s="496">
        <f>IF(D94="","-",+C129+1)</f>
        <v>2042</v>
      </c>
      <c r="D130" s="350">
        <f>IF(F129+SUM(E$100:E129)=D$93,F129,D$93-SUM(E$100:E129))</f>
        <v>0</v>
      </c>
      <c r="E130" s="510">
        <f>IF(+J97&lt;F129,J97,D130)</f>
        <v>0</v>
      </c>
      <c r="F130" s="511">
        <f t="shared" si="25"/>
        <v>0</v>
      </c>
      <c r="G130" s="511">
        <f t="shared" si="18"/>
        <v>0</v>
      </c>
      <c r="H130" s="524">
        <f t="shared" si="19"/>
        <v>0</v>
      </c>
      <c r="I130" s="573">
        <f t="shared" si="20"/>
        <v>0</v>
      </c>
      <c r="J130" s="505">
        <f t="shared" si="21"/>
        <v>0</v>
      </c>
      <c r="K130" s="505"/>
      <c r="L130" s="513"/>
      <c r="M130" s="505">
        <f t="shared" si="22"/>
        <v>0</v>
      </c>
      <c r="N130" s="513"/>
      <c r="O130" s="505">
        <f t="shared" si="23"/>
        <v>0</v>
      </c>
      <c r="P130" s="505">
        <f t="shared" si="24"/>
        <v>0</v>
      </c>
      <c r="Q130" s="244"/>
      <c r="R130" s="244"/>
      <c r="S130" s="244"/>
      <c r="T130" s="244"/>
      <c r="U130" s="244"/>
    </row>
    <row r="131" spans="2:21">
      <c r="B131" s="145" t="str">
        <f t="shared" si="17"/>
        <v/>
      </c>
      <c r="C131" s="496">
        <f>IF(D94="","-",+C130+1)</f>
        <v>2043</v>
      </c>
      <c r="D131" s="350">
        <f>IF(F130+SUM(E$100:E130)=D$93,F130,D$93-SUM(E$100:E130))</f>
        <v>0</v>
      </c>
      <c r="E131" s="510">
        <f>IF(+J97&lt;F130,J97,D131)</f>
        <v>0</v>
      </c>
      <c r="F131" s="511">
        <f t="shared" si="25"/>
        <v>0</v>
      </c>
      <c r="G131" s="511">
        <f t="shared" si="18"/>
        <v>0</v>
      </c>
      <c r="H131" s="524">
        <f t="shared" si="19"/>
        <v>0</v>
      </c>
      <c r="I131" s="573">
        <f t="shared" si="20"/>
        <v>0</v>
      </c>
      <c r="J131" s="505">
        <f t="shared" si="21"/>
        <v>0</v>
      </c>
      <c r="K131" s="505"/>
      <c r="L131" s="513"/>
      <c r="M131" s="505">
        <f t="shared" si="22"/>
        <v>0</v>
      </c>
      <c r="N131" s="513"/>
      <c r="O131" s="505">
        <f t="shared" si="23"/>
        <v>0</v>
      </c>
      <c r="P131" s="505">
        <f t="shared" si="24"/>
        <v>0</v>
      </c>
      <c r="Q131" s="244"/>
      <c r="R131" s="244"/>
      <c r="S131" s="244"/>
      <c r="T131" s="244"/>
      <c r="U131" s="244"/>
    </row>
    <row r="132" spans="2:21">
      <c r="B132" s="145" t="str">
        <f t="shared" ref="B132:B155" si="26">IF(D132=F131,"","IU")</f>
        <v/>
      </c>
      <c r="C132" s="496">
        <f>IF(D94="","-",+C131+1)</f>
        <v>2044</v>
      </c>
      <c r="D132" s="350">
        <f>IF(F131+SUM(E$100:E131)=D$93,F131,D$93-SUM(E$100:E131))</f>
        <v>0</v>
      </c>
      <c r="E132" s="510">
        <f>IF(+J97&lt;F131,J97,D132)</f>
        <v>0</v>
      </c>
      <c r="F132" s="511">
        <f t="shared" si="25"/>
        <v>0</v>
      </c>
      <c r="G132" s="511">
        <f t="shared" ref="G132:G155" si="27">+(F132+D132)/2</f>
        <v>0</v>
      </c>
      <c r="H132" s="524">
        <f t="shared" ref="H132:H155" si="28">+J$95*G132+E132</f>
        <v>0</v>
      </c>
      <c r="I132" s="573">
        <f t="shared" ref="I132:I155" si="29">+J$96*G132+E132</f>
        <v>0</v>
      </c>
      <c r="J132" s="505">
        <f t="shared" ref="J132:J155" si="30">+I132-H132</f>
        <v>0</v>
      </c>
      <c r="K132" s="505"/>
      <c r="L132" s="513"/>
      <c r="M132" s="505">
        <f t="shared" ref="M132:M155" si="31">IF(L132&lt;&gt;0,+H132-L132,0)</f>
        <v>0</v>
      </c>
      <c r="N132" s="513"/>
      <c r="O132" s="505">
        <f t="shared" ref="O132:O155" si="32">IF(N132&lt;&gt;0,+I132-N132,0)</f>
        <v>0</v>
      </c>
      <c r="P132" s="505">
        <f t="shared" ref="P132:P155" si="33">+O132-M132</f>
        <v>0</v>
      </c>
      <c r="Q132" s="244"/>
      <c r="R132" s="244"/>
      <c r="S132" s="244"/>
      <c r="T132" s="244"/>
      <c r="U132" s="244"/>
    </row>
    <row r="133" spans="2:21">
      <c r="B133" s="145" t="str">
        <f t="shared" si="26"/>
        <v/>
      </c>
      <c r="C133" s="496">
        <f>IF(D94="","-",+C132+1)</f>
        <v>2045</v>
      </c>
      <c r="D133" s="350">
        <f>IF(F132+SUM(E$100:E132)=D$93,F132,D$93-SUM(E$100:E132))</f>
        <v>0</v>
      </c>
      <c r="E133" s="510">
        <f>IF(+J97&lt;F132,J97,D133)</f>
        <v>0</v>
      </c>
      <c r="F133" s="511">
        <f t="shared" ref="F133:F155" si="34">+D133-E133</f>
        <v>0</v>
      </c>
      <c r="G133" s="511">
        <f t="shared" si="27"/>
        <v>0</v>
      </c>
      <c r="H133" s="524">
        <f t="shared" si="28"/>
        <v>0</v>
      </c>
      <c r="I133" s="573">
        <f t="shared" si="29"/>
        <v>0</v>
      </c>
      <c r="J133" s="505">
        <f t="shared" si="30"/>
        <v>0</v>
      </c>
      <c r="K133" s="505"/>
      <c r="L133" s="513"/>
      <c r="M133" s="505">
        <f t="shared" si="31"/>
        <v>0</v>
      </c>
      <c r="N133" s="513"/>
      <c r="O133" s="505">
        <f t="shared" si="32"/>
        <v>0</v>
      </c>
      <c r="P133" s="505">
        <f t="shared" si="33"/>
        <v>0</v>
      </c>
      <c r="Q133" s="244"/>
      <c r="R133" s="244"/>
      <c r="S133" s="244"/>
      <c r="T133" s="244"/>
      <c r="U133" s="244"/>
    </row>
    <row r="134" spans="2:21">
      <c r="B134" s="145" t="str">
        <f t="shared" si="26"/>
        <v/>
      </c>
      <c r="C134" s="496">
        <f>IF(D94="","-",+C133+1)</f>
        <v>2046</v>
      </c>
      <c r="D134" s="350">
        <f>IF(F133+SUM(E$100:E133)=D$93,F133,D$93-SUM(E$100:E133))</f>
        <v>0</v>
      </c>
      <c r="E134" s="510">
        <f>IF(+J97&lt;F133,J97,D134)</f>
        <v>0</v>
      </c>
      <c r="F134" s="511">
        <f t="shared" si="34"/>
        <v>0</v>
      </c>
      <c r="G134" s="511">
        <f t="shared" si="27"/>
        <v>0</v>
      </c>
      <c r="H134" s="524">
        <f t="shared" si="28"/>
        <v>0</v>
      </c>
      <c r="I134" s="573">
        <f t="shared" si="29"/>
        <v>0</v>
      </c>
      <c r="J134" s="505">
        <f t="shared" si="30"/>
        <v>0</v>
      </c>
      <c r="K134" s="505"/>
      <c r="L134" s="513"/>
      <c r="M134" s="505">
        <f t="shared" si="31"/>
        <v>0</v>
      </c>
      <c r="N134" s="513"/>
      <c r="O134" s="505">
        <f t="shared" si="32"/>
        <v>0</v>
      </c>
      <c r="P134" s="505">
        <f t="shared" si="33"/>
        <v>0</v>
      </c>
      <c r="Q134" s="244"/>
      <c r="R134" s="244"/>
      <c r="S134" s="244"/>
      <c r="T134" s="244"/>
      <c r="U134" s="244"/>
    </row>
    <row r="135" spans="2:21">
      <c r="B135" s="145" t="str">
        <f t="shared" si="26"/>
        <v/>
      </c>
      <c r="C135" s="496">
        <f>IF(D94="","-",+C134+1)</f>
        <v>2047</v>
      </c>
      <c r="D135" s="350">
        <f>IF(F134+SUM(E$100:E134)=D$93,F134,D$93-SUM(E$100:E134))</f>
        <v>0</v>
      </c>
      <c r="E135" s="510">
        <f>IF(+J97&lt;F134,J97,D135)</f>
        <v>0</v>
      </c>
      <c r="F135" s="511">
        <f t="shared" si="34"/>
        <v>0</v>
      </c>
      <c r="G135" s="511">
        <f t="shared" si="27"/>
        <v>0</v>
      </c>
      <c r="H135" s="524">
        <f t="shared" si="28"/>
        <v>0</v>
      </c>
      <c r="I135" s="573">
        <f t="shared" si="29"/>
        <v>0</v>
      </c>
      <c r="J135" s="505">
        <f t="shared" si="30"/>
        <v>0</v>
      </c>
      <c r="K135" s="505"/>
      <c r="L135" s="513"/>
      <c r="M135" s="505">
        <f t="shared" si="31"/>
        <v>0</v>
      </c>
      <c r="N135" s="513"/>
      <c r="O135" s="505">
        <f t="shared" si="32"/>
        <v>0</v>
      </c>
      <c r="P135" s="505">
        <f t="shared" si="33"/>
        <v>0</v>
      </c>
      <c r="Q135" s="244"/>
      <c r="R135" s="244"/>
      <c r="S135" s="244"/>
      <c r="T135" s="244"/>
      <c r="U135" s="244"/>
    </row>
    <row r="136" spans="2:21">
      <c r="B136" s="145" t="str">
        <f t="shared" si="26"/>
        <v/>
      </c>
      <c r="C136" s="496">
        <f>IF(D94="","-",+C135+1)</f>
        <v>2048</v>
      </c>
      <c r="D136" s="350">
        <f>IF(F135+SUM(E$100:E135)=D$93,F135,D$93-SUM(E$100:E135))</f>
        <v>0</v>
      </c>
      <c r="E136" s="510">
        <f>IF(+J97&lt;F135,J97,D136)</f>
        <v>0</v>
      </c>
      <c r="F136" s="511">
        <f t="shared" si="34"/>
        <v>0</v>
      </c>
      <c r="G136" s="511">
        <f t="shared" si="27"/>
        <v>0</v>
      </c>
      <c r="H136" s="524">
        <f t="shared" si="28"/>
        <v>0</v>
      </c>
      <c r="I136" s="573">
        <f t="shared" si="29"/>
        <v>0</v>
      </c>
      <c r="J136" s="505">
        <f t="shared" si="30"/>
        <v>0</v>
      </c>
      <c r="K136" s="505"/>
      <c r="L136" s="513"/>
      <c r="M136" s="505">
        <f t="shared" si="31"/>
        <v>0</v>
      </c>
      <c r="N136" s="513"/>
      <c r="O136" s="505">
        <f t="shared" si="32"/>
        <v>0</v>
      </c>
      <c r="P136" s="505">
        <f t="shared" si="33"/>
        <v>0</v>
      </c>
      <c r="Q136" s="244"/>
      <c r="R136" s="244"/>
      <c r="S136" s="244"/>
      <c r="T136" s="244"/>
      <c r="U136" s="244"/>
    </row>
    <row r="137" spans="2:21">
      <c r="B137" s="145" t="str">
        <f t="shared" si="26"/>
        <v/>
      </c>
      <c r="C137" s="496">
        <f>IF(D94="","-",+C136+1)</f>
        <v>2049</v>
      </c>
      <c r="D137" s="350">
        <f>IF(F136+SUM(E$100:E136)=D$93,F136,D$93-SUM(E$100:E136))</f>
        <v>0</v>
      </c>
      <c r="E137" s="510">
        <f>IF(+J97&lt;F136,J97,D137)</f>
        <v>0</v>
      </c>
      <c r="F137" s="511">
        <f t="shared" si="34"/>
        <v>0</v>
      </c>
      <c r="G137" s="511">
        <f t="shared" si="27"/>
        <v>0</v>
      </c>
      <c r="H137" s="524">
        <f t="shared" si="28"/>
        <v>0</v>
      </c>
      <c r="I137" s="573">
        <f t="shared" si="29"/>
        <v>0</v>
      </c>
      <c r="J137" s="505">
        <f t="shared" si="30"/>
        <v>0</v>
      </c>
      <c r="K137" s="505"/>
      <c r="L137" s="513"/>
      <c r="M137" s="505">
        <f t="shared" si="31"/>
        <v>0</v>
      </c>
      <c r="N137" s="513"/>
      <c r="O137" s="505">
        <f t="shared" si="32"/>
        <v>0</v>
      </c>
      <c r="P137" s="505">
        <f t="shared" si="33"/>
        <v>0</v>
      </c>
      <c r="Q137" s="244"/>
      <c r="R137" s="244"/>
      <c r="S137" s="244"/>
      <c r="T137" s="244"/>
      <c r="U137" s="244"/>
    </row>
    <row r="138" spans="2:21">
      <c r="B138" s="145" t="str">
        <f t="shared" si="26"/>
        <v/>
      </c>
      <c r="C138" s="496">
        <f>IF(D94="","-",+C137+1)</f>
        <v>2050</v>
      </c>
      <c r="D138" s="350">
        <f>IF(F137+SUM(E$100:E137)=D$93,F137,D$93-SUM(E$100:E137))</f>
        <v>0</v>
      </c>
      <c r="E138" s="510">
        <f>IF(+J97&lt;F137,J97,D138)</f>
        <v>0</v>
      </c>
      <c r="F138" s="511">
        <f t="shared" si="34"/>
        <v>0</v>
      </c>
      <c r="G138" s="511">
        <f t="shared" si="27"/>
        <v>0</v>
      </c>
      <c r="H138" s="524">
        <f t="shared" si="28"/>
        <v>0</v>
      </c>
      <c r="I138" s="573">
        <f t="shared" si="29"/>
        <v>0</v>
      </c>
      <c r="J138" s="505">
        <f t="shared" si="30"/>
        <v>0</v>
      </c>
      <c r="K138" s="505"/>
      <c r="L138" s="513"/>
      <c r="M138" s="505">
        <f t="shared" si="31"/>
        <v>0</v>
      </c>
      <c r="N138" s="513"/>
      <c r="O138" s="505">
        <f t="shared" si="32"/>
        <v>0</v>
      </c>
      <c r="P138" s="505">
        <f t="shared" si="33"/>
        <v>0</v>
      </c>
      <c r="Q138" s="244"/>
      <c r="R138" s="244"/>
      <c r="S138" s="244"/>
      <c r="T138" s="244"/>
      <c r="U138" s="244"/>
    </row>
    <row r="139" spans="2:21">
      <c r="B139" s="145" t="str">
        <f t="shared" si="26"/>
        <v/>
      </c>
      <c r="C139" s="496">
        <f>IF(D94="","-",+C138+1)</f>
        <v>2051</v>
      </c>
      <c r="D139" s="350">
        <f>IF(F138+SUM(E$100:E138)=D$93,F138,D$93-SUM(E$100:E138))</f>
        <v>0</v>
      </c>
      <c r="E139" s="510">
        <f>IF(+J97&lt;F138,J97,D139)</f>
        <v>0</v>
      </c>
      <c r="F139" s="511">
        <f t="shared" si="34"/>
        <v>0</v>
      </c>
      <c r="G139" s="511">
        <f t="shared" si="27"/>
        <v>0</v>
      </c>
      <c r="H139" s="524">
        <f t="shared" si="28"/>
        <v>0</v>
      </c>
      <c r="I139" s="573">
        <f t="shared" si="29"/>
        <v>0</v>
      </c>
      <c r="J139" s="505">
        <f t="shared" si="30"/>
        <v>0</v>
      </c>
      <c r="K139" s="505"/>
      <c r="L139" s="513"/>
      <c r="M139" s="505">
        <f t="shared" si="31"/>
        <v>0</v>
      </c>
      <c r="N139" s="513"/>
      <c r="O139" s="505">
        <f t="shared" si="32"/>
        <v>0</v>
      </c>
      <c r="P139" s="505">
        <f t="shared" si="33"/>
        <v>0</v>
      </c>
      <c r="Q139" s="244"/>
      <c r="R139" s="244"/>
      <c r="S139" s="244"/>
      <c r="T139" s="244"/>
      <c r="U139" s="244"/>
    </row>
    <row r="140" spans="2:21">
      <c r="B140" s="145" t="str">
        <f t="shared" si="26"/>
        <v/>
      </c>
      <c r="C140" s="496">
        <f>IF(D94="","-",+C139+1)</f>
        <v>2052</v>
      </c>
      <c r="D140" s="350">
        <f>IF(F139+SUM(E$100:E139)=D$93,F139,D$93-SUM(E$100:E139))</f>
        <v>0</v>
      </c>
      <c r="E140" s="510">
        <f>IF(+J97&lt;F139,J97,D140)</f>
        <v>0</v>
      </c>
      <c r="F140" s="511">
        <f t="shared" si="34"/>
        <v>0</v>
      </c>
      <c r="G140" s="511">
        <f t="shared" si="27"/>
        <v>0</v>
      </c>
      <c r="H140" s="524">
        <f t="shared" si="28"/>
        <v>0</v>
      </c>
      <c r="I140" s="573">
        <f t="shared" si="29"/>
        <v>0</v>
      </c>
      <c r="J140" s="505">
        <f t="shared" si="30"/>
        <v>0</v>
      </c>
      <c r="K140" s="505"/>
      <c r="L140" s="513"/>
      <c r="M140" s="505">
        <f t="shared" si="31"/>
        <v>0</v>
      </c>
      <c r="N140" s="513"/>
      <c r="O140" s="505">
        <f t="shared" si="32"/>
        <v>0</v>
      </c>
      <c r="P140" s="505">
        <f t="shared" si="33"/>
        <v>0</v>
      </c>
      <c r="Q140" s="244"/>
      <c r="R140" s="244"/>
      <c r="S140" s="244"/>
      <c r="T140" s="244"/>
      <c r="U140" s="244"/>
    </row>
    <row r="141" spans="2:21">
      <c r="B141" s="145" t="str">
        <f t="shared" si="26"/>
        <v/>
      </c>
      <c r="C141" s="496">
        <f>IF(D94="","-",+C140+1)</f>
        <v>2053</v>
      </c>
      <c r="D141" s="350">
        <f>IF(F140+SUM(E$100:E140)=D$93,F140,D$93-SUM(E$100:E140))</f>
        <v>0</v>
      </c>
      <c r="E141" s="510">
        <f>IF(+J97&lt;F140,J97,D141)</f>
        <v>0</v>
      </c>
      <c r="F141" s="511">
        <f t="shared" si="34"/>
        <v>0</v>
      </c>
      <c r="G141" s="511">
        <f t="shared" si="27"/>
        <v>0</v>
      </c>
      <c r="H141" s="524">
        <f t="shared" si="28"/>
        <v>0</v>
      </c>
      <c r="I141" s="573">
        <f t="shared" si="29"/>
        <v>0</v>
      </c>
      <c r="J141" s="505">
        <f t="shared" si="30"/>
        <v>0</v>
      </c>
      <c r="K141" s="505"/>
      <c r="L141" s="513"/>
      <c r="M141" s="505">
        <f t="shared" si="31"/>
        <v>0</v>
      </c>
      <c r="N141" s="513"/>
      <c r="O141" s="505">
        <f t="shared" si="32"/>
        <v>0</v>
      </c>
      <c r="P141" s="505">
        <f t="shared" si="33"/>
        <v>0</v>
      </c>
      <c r="Q141" s="244"/>
      <c r="R141" s="244"/>
      <c r="S141" s="244"/>
      <c r="T141" s="244"/>
      <c r="U141" s="244"/>
    </row>
    <row r="142" spans="2:21">
      <c r="B142" s="145" t="str">
        <f t="shared" si="26"/>
        <v/>
      </c>
      <c r="C142" s="496">
        <f>IF(D94="","-",+C141+1)</f>
        <v>2054</v>
      </c>
      <c r="D142" s="350">
        <f>IF(F141+SUM(E$100:E141)=D$93,F141,D$93-SUM(E$100:E141))</f>
        <v>0</v>
      </c>
      <c r="E142" s="510">
        <f>IF(+J97&lt;F141,J97,D142)</f>
        <v>0</v>
      </c>
      <c r="F142" s="511">
        <f t="shared" si="34"/>
        <v>0</v>
      </c>
      <c r="G142" s="511">
        <f t="shared" si="27"/>
        <v>0</v>
      </c>
      <c r="H142" s="524">
        <f t="shared" si="28"/>
        <v>0</v>
      </c>
      <c r="I142" s="573">
        <f t="shared" si="29"/>
        <v>0</v>
      </c>
      <c r="J142" s="505">
        <f t="shared" si="30"/>
        <v>0</v>
      </c>
      <c r="K142" s="505"/>
      <c r="L142" s="513"/>
      <c r="M142" s="505">
        <f t="shared" si="31"/>
        <v>0</v>
      </c>
      <c r="N142" s="513"/>
      <c r="O142" s="505">
        <f t="shared" si="32"/>
        <v>0</v>
      </c>
      <c r="P142" s="505">
        <f t="shared" si="33"/>
        <v>0</v>
      </c>
      <c r="Q142" s="244"/>
      <c r="R142" s="244"/>
      <c r="S142" s="244"/>
      <c r="T142" s="244"/>
      <c r="U142" s="244"/>
    </row>
    <row r="143" spans="2:21">
      <c r="B143" s="145" t="str">
        <f t="shared" si="26"/>
        <v/>
      </c>
      <c r="C143" s="496">
        <f>IF(D94="","-",+C142+1)</f>
        <v>2055</v>
      </c>
      <c r="D143" s="350">
        <f>IF(F142+SUM(E$100:E142)=D$93,F142,D$93-SUM(E$100:E142))</f>
        <v>0</v>
      </c>
      <c r="E143" s="510">
        <f>IF(+J97&lt;F142,J97,D143)</f>
        <v>0</v>
      </c>
      <c r="F143" s="511">
        <f t="shared" si="34"/>
        <v>0</v>
      </c>
      <c r="G143" s="511">
        <f t="shared" si="27"/>
        <v>0</v>
      </c>
      <c r="H143" s="524">
        <f t="shared" si="28"/>
        <v>0</v>
      </c>
      <c r="I143" s="573">
        <f t="shared" si="29"/>
        <v>0</v>
      </c>
      <c r="J143" s="505">
        <f t="shared" si="30"/>
        <v>0</v>
      </c>
      <c r="K143" s="505"/>
      <c r="L143" s="513"/>
      <c r="M143" s="505">
        <f t="shared" si="31"/>
        <v>0</v>
      </c>
      <c r="N143" s="513"/>
      <c r="O143" s="505">
        <f t="shared" si="32"/>
        <v>0</v>
      </c>
      <c r="P143" s="505">
        <f t="shared" si="33"/>
        <v>0</v>
      </c>
      <c r="Q143" s="244"/>
      <c r="R143" s="244"/>
      <c r="S143" s="244"/>
      <c r="T143" s="244"/>
      <c r="U143" s="244"/>
    </row>
    <row r="144" spans="2:21">
      <c r="B144" s="145" t="str">
        <f t="shared" si="26"/>
        <v/>
      </c>
      <c r="C144" s="496">
        <f>IF(D94="","-",+C143+1)</f>
        <v>2056</v>
      </c>
      <c r="D144" s="350">
        <f>IF(F143+SUM(E$100:E143)=D$93,F143,D$93-SUM(E$100:E143))</f>
        <v>0</v>
      </c>
      <c r="E144" s="510">
        <f>IF(+J97&lt;F143,J97,D144)</f>
        <v>0</v>
      </c>
      <c r="F144" s="511">
        <f t="shared" si="34"/>
        <v>0</v>
      </c>
      <c r="G144" s="511">
        <f t="shared" si="27"/>
        <v>0</v>
      </c>
      <c r="H144" s="524">
        <f t="shared" si="28"/>
        <v>0</v>
      </c>
      <c r="I144" s="573">
        <f t="shared" si="29"/>
        <v>0</v>
      </c>
      <c r="J144" s="505">
        <f t="shared" si="30"/>
        <v>0</v>
      </c>
      <c r="K144" s="505"/>
      <c r="L144" s="513"/>
      <c r="M144" s="505">
        <f t="shared" si="31"/>
        <v>0</v>
      </c>
      <c r="N144" s="513"/>
      <c r="O144" s="505">
        <f t="shared" si="32"/>
        <v>0</v>
      </c>
      <c r="P144" s="505">
        <f t="shared" si="33"/>
        <v>0</v>
      </c>
      <c r="Q144" s="244"/>
      <c r="R144" s="244"/>
      <c r="S144" s="244"/>
      <c r="T144" s="244"/>
      <c r="U144" s="244"/>
    </row>
    <row r="145" spans="2:21">
      <c r="B145" s="145" t="str">
        <f t="shared" si="26"/>
        <v/>
      </c>
      <c r="C145" s="496">
        <f>IF(D94="","-",+C144+1)</f>
        <v>2057</v>
      </c>
      <c r="D145" s="350">
        <f>IF(F144+SUM(E$100:E144)=D$93,F144,D$93-SUM(E$100:E144))</f>
        <v>0</v>
      </c>
      <c r="E145" s="510">
        <f>IF(+J97&lt;F144,J97,D145)</f>
        <v>0</v>
      </c>
      <c r="F145" s="511">
        <f t="shared" si="34"/>
        <v>0</v>
      </c>
      <c r="G145" s="511">
        <f t="shared" si="27"/>
        <v>0</v>
      </c>
      <c r="H145" s="524">
        <f t="shared" si="28"/>
        <v>0</v>
      </c>
      <c r="I145" s="573">
        <f t="shared" si="29"/>
        <v>0</v>
      </c>
      <c r="J145" s="505">
        <f t="shared" si="30"/>
        <v>0</v>
      </c>
      <c r="K145" s="505"/>
      <c r="L145" s="513"/>
      <c r="M145" s="505">
        <f t="shared" si="31"/>
        <v>0</v>
      </c>
      <c r="N145" s="513"/>
      <c r="O145" s="505">
        <f t="shared" si="32"/>
        <v>0</v>
      </c>
      <c r="P145" s="505">
        <f t="shared" si="33"/>
        <v>0</v>
      </c>
      <c r="Q145" s="244"/>
      <c r="R145" s="244"/>
      <c r="S145" s="244"/>
      <c r="T145" s="244"/>
      <c r="U145" s="244"/>
    </row>
    <row r="146" spans="2:21">
      <c r="B146" s="145" t="str">
        <f t="shared" si="26"/>
        <v/>
      </c>
      <c r="C146" s="496">
        <f>IF(D94="","-",+C145+1)</f>
        <v>2058</v>
      </c>
      <c r="D146" s="350">
        <f>IF(F145+SUM(E$100:E145)=D$93,F145,D$93-SUM(E$100:E145))</f>
        <v>0</v>
      </c>
      <c r="E146" s="510">
        <f>IF(+J97&lt;F145,J97,D146)</f>
        <v>0</v>
      </c>
      <c r="F146" s="511">
        <f t="shared" si="34"/>
        <v>0</v>
      </c>
      <c r="G146" s="511">
        <f t="shared" si="27"/>
        <v>0</v>
      </c>
      <c r="H146" s="524">
        <f t="shared" si="28"/>
        <v>0</v>
      </c>
      <c r="I146" s="573">
        <f t="shared" si="29"/>
        <v>0</v>
      </c>
      <c r="J146" s="505">
        <f t="shared" si="30"/>
        <v>0</v>
      </c>
      <c r="K146" s="505"/>
      <c r="L146" s="513"/>
      <c r="M146" s="505">
        <f t="shared" si="31"/>
        <v>0</v>
      </c>
      <c r="N146" s="513"/>
      <c r="O146" s="505">
        <f t="shared" si="32"/>
        <v>0</v>
      </c>
      <c r="P146" s="505">
        <f t="shared" si="33"/>
        <v>0</v>
      </c>
      <c r="Q146" s="244"/>
      <c r="R146" s="244"/>
      <c r="S146" s="244"/>
      <c r="T146" s="244"/>
      <c r="U146" s="244"/>
    </row>
    <row r="147" spans="2:21">
      <c r="B147" s="145" t="str">
        <f t="shared" si="26"/>
        <v/>
      </c>
      <c r="C147" s="496">
        <f>IF(D94="","-",+C146+1)</f>
        <v>2059</v>
      </c>
      <c r="D147" s="350">
        <f>IF(F146+SUM(E$100:E146)=D$93,F146,D$93-SUM(E$100:E146))</f>
        <v>0</v>
      </c>
      <c r="E147" s="510">
        <f>IF(+J97&lt;F146,J97,D147)</f>
        <v>0</v>
      </c>
      <c r="F147" s="511">
        <f t="shared" si="34"/>
        <v>0</v>
      </c>
      <c r="G147" s="511">
        <f t="shared" si="27"/>
        <v>0</v>
      </c>
      <c r="H147" s="524">
        <f t="shared" si="28"/>
        <v>0</v>
      </c>
      <c r="I147" s="573">
        <f t="shared" si="29"/>
        <v>0</v>
      </c>
      <c r="J147" s="505">
        <f t="shared" si="30"/>
        <v>0</v>
      </c>
      <c r="K147" s="505"/>
      <c r="L147" s="513"/>
      <c r="M147" s="505">
        <f t="shared" si="31"/>
        <v>0</v>
      </c>
      <c r="N147" s="513"/>
      <c r="O147" s="505">
        <f t="shared" si="32"/>
        <v>0</v>
      </c>
      <c r="P147" s="505">
        <f t="shared" si="33"/>
        <v>0</v>
      </c>
      <c r="Q147" s="244"/>
      <c r="R147" s="244"/>
      <c r="S147" s="244"/>
      <c r="T147" s="244"/>
      <c r="U147" s="244"/>
    </row>
    <row r="148" spans="2:21">
      <c r="B148" s="145" t="str">
        <f t="shared" si="26"/>
        <v/>
      </c>
      <c r="C148" s="496">
        <f>IF(D94="","-",+C147+1)</f>
        <v>2060</v>
      </c>
      <c r="D148" s="350">
        <f>IF(F147+SUM(E$100:E147)=D$93,F147,D$93-SUM(E$100:E147))</f>
        <v>0</v>
      </c>
      <c r="E148" s="510">
        <f>IF(+J97&lt;F147,J97,D148)</f>
        <v>0</v>
      </c>
      <c r="F148" s="511">
        <f t="shared" si="34"/>
        <v>0</v>
      </c>
      <c r="G148" s="511">
        <f t="shared" si="27"/>
        <v>0</v>
      </c>
      <c r="H148" s="524">
        <f t="shared" si="28"/>
        <v>0</v>
      </c>
      <c r="I148" s="573">
        <f t="shared" si="29"/>
        <v>0</v>
      </c>
      <c r="J148" s="505">
        <f t="shared" si="30"/>
        <v>0</v>
      </c>
      <c r="K148" s="505"/>
      <c r="L148" s="513"/>
      <c r="M148" s="505">
        <f t="shared" si="31"/>
        <v>0</v>
      </c>
      <c r="N148" s="513"/>
      <c r="O148" s="505">
        <f t="shared" si="32"/>
        <v>0</v>
      </c>
      <c r="P148" s="505">
        <f t="shared" si="33"/>
        <v>0</v>
      </c>
      <c r="Q148" s="244"/>
      <c r="R148" s="244"/>
      <c r="S148" s="244"/>
      <c r="T148" s="244"/>
      <c r="U148" s="244"/>
    </row>
    <row r="149" spans="2:21">
      <c r="B149" s="145" t="str">
        <f t="shared" si="26"/>
        <v/>
      </c>
      <c r="C149" s="496">
        <f>IF(D94="","-",+C148+1)</f>
        <v>2061</v>
      </c>
      <c r="D149" s="350">
        <f>IF(F148+SUM(E$100:E148)=D$93,F148,D$93-SUM(E$100:E148))</f>
        <v>0</v>
      </c>
      <c r="E149" s="510">
        <f>IF(+J97&lt;F148,J97,D149)</f>
        <v>0</v>
      </c>
      <c r="F149" s="511">
        <f t="shared" si="34"/>
        <v>0</v>
      </c>
      <c r="G149" s="511">
        <f t="shared" si="27"/>
        <v>0</v>
      </c>
      <c r="H149" s="524">
        <f t="shared" si="28"/>
        <v>0</v>
      </c>
      <c r="I149" s="573">
        <f t="shared" si="29"/>
        <v>0</v>
      </c>
      <c r="J149" s="505">
        <f t="shared" si="30"/>
        <v>0</v>
      </c>
      <c r="K149" s="505"/>
      <c r="L149" s="513"/>
      <c r="M149" s="505">
        <f t="shared" si="31"/>
        <v>0</v>
      </c>
      <c r="N149" s="513"/>
      <c r="O149" s="505">
        <f t="shared" si="32"/>
        <v>0</v>
      </c>
      <c r="P149" s="505">
        <f t="shared" si="33"/>
        <v>0</v>
      </c>
      <c r="Q149" s="244"/>
      <c r="R149" s="244"/>
      <c r="S149" s="244"/>
      <c r="T149" s="244"/>
      <c r="U149" s="244"/>
    </row>
    <row r="150" spans="2:21">
      <c r="B150" s="145" t="str">
        <f t="shared" si="26"/>
        <v/>
      </c>
      <c r="C150" s="496">
        <f>IF(D94="","-",+C149+1)</f>
        <v>2062</v>
      </c>
      <c r="D150" s="350">
        <f>IF(F149+SUM(E$100:E149)=D$93,F149,D$93-SUM(E$100:E149))</f>
        <v>0</v>
      </c>
      <c r="E150" s="510">
        <f>IF(+J97&lt;F149,J97,D150)</f>
        <v>0</v>
      </c>
      <c r="F150" s="511">
        <f t="shared" si="34"/>
        <v>0</v>
      </c>
      <c r="G150" s="511">
        <f t="shared" si="27"/>
        <v>0</v>
      </c>
      <c r="H150" s="524">
        <f t="shared" si="28"/>
        <v>0</v>
      </c>
      <c r="I150" s="573">
        <f t="shared" si="29"/>
        <v>0</v>
      </c>
      <c r="J150" s="505">
        <f t="shared" si="30"/>
        <v>0</v>
      </c>
      <c r="K150" s="505"/>
      <c r="L150" s="513"/>
      <c r="M150" s="505">
        <f t="shared" si="31"/>
        <v>0</v>
      </c>
      <c r="N150" s="513"/>
      <c r="O150" s="505">
        <f t="shared" si="32"/>
        <v>0</v>
      </c>
      <c r="P150" s="505">
        <f t="shared" si="33"/>
        <v>0</v>
      </c>
      <c r="Q150" s="244"/>
      <c r="R150" s="244"/>
      <c r="S150" s="244"/>
      <c r="T150" s="244"/>
      <c r="U150" s="244"/>
    </row>
    <row r="151" spans="2:21">
      <c r="B151" s="145" t="str">
        <f t="shared" si="26"/>
        <v/>
      </c>
      <c r="C151" s="496">
        <f>IF(D94="","-",+C150+1)</f>
        <v>2063</v>
      </c>
      <c r="D151" s="350">
        <f>IF(F150+SUM(E$100:E150)=D$93,F150,D$93-SUM(E$100:E150))</f>
        <v>0</v>
      </c>
      <c r="E151" s="510">
        <f>IF(+J97&lt;F150,J97,D151)</f>
        <v>0</v>
      </c>
      <c r="F151" s="511">
        <f t="shared" si="34"/>
        <v>0</v>
      </c>
      <c r="G151" s="511">
        <f t="shared" si="27"/>
        <v>0</v>
      </c>
      <c r="H151" s="524">
        <f t="shared" si="28"/>
        <v>0</v>
      </c>
      <c r="I151" s="573">
        <f t="shared" si="29"/>
        <v>0</v>
      </c>
      <c r="J151" s="505">
        <f t="shared" si="30"/>
        <v>0</v>
      </c>
      <c r="K151" s="505"/>
      <c r="L151" s="513"/>
      <c r="M151" s="505">
        <f t="shared" si="31"/>
        <v>0</v>
      </c>
      <c r="N151" s="513"/>
      <c r="O151" s="505">
        <f t="shared" si="32"/>
        <v>0</v>
      </c>
      <c r="P151" s="505">
        <f t="shared" si="33"/>
        <v>0</v>
      </c>
      <c r="Q151" s="244"/>
      <c r="R151" s="244"/>
      <c r="S151" s="244"/>
      <c r="T151" s="244"/>
      <c r="U151" s="244"/>
    </row>
    <row r="152" spans="2:21">
      <c r="B152" s="145" t="str">
        <f t="shared" si="26"/>
        <v/>
      </c>
      <c r="C152" s="496">
        <f>IF(D94="","-",+C151+1)</f>
        <v>2064</v>
      </c>
      <c r="D152" s="350">
        <f>IF(F151+SUM(E$100:E151)=D$93,F151,D$93-SUM(E$100:E151))</f>
        <v>0</v>
      </c>
      <c r="E152" s="510">
        <f>IF(+J97&lt;F151,J97,D152)</f>
        <v>0</v>
      </c>
      <c r="F152" s="511">
        <f t="shared" si="34"/>
        <v>0</v>
      </c>
      <c r="G152" s="511">
        <f t="shared" si="27"/>
        <v>0</v>
      </c>
      <c r="H152" s="524">
        <f t="shared" si="28"/>
        <v>0</v>
      </c>
      <c r="I152" s="573">
        <f t="shared" si="29"/>
        <v>0</v>
      </c>
      <c r="J152" s="505">
        <f t="shared" si="30"/>
        <v>0</v>
      </c>
      <c r="K152" s="505"/>
      <c r="L152" s="513"/>
      <c r="M152" s="505">
        <f t="shared" si="31"/>
        <v>0</v>
      </c>
      <c r="N152" s="513"/>
      <c r="O152" s="505">
        <f t="shared" si="32"/>
        <v>0</v>
      </c>
      <c r="P152" s="505">
        <f t="shared" si="33"/>
        <v>0</v>
      </c>
      <c r="Q152" s="244"/>
      <c r="R152" s="244"/>
      <c r="S152" s="244"/>
      <c r="T152" s="244"/>
      <c r="U152" s="244"/>
    </row>
    <row r="153" spans="2:21">
      <c r="B153" s="145" t="str">
        <f t="shared" si="26"/>
        <v/>
      </c>
      <c r="C153" s="496">
        <f>IF(D94="","-",+C152+1)</f>
        <v>2065</v>
      </c>
      <c r="D153" s="350">
        <f>IF(F152+SUM(E$100:E152)=D$93,F152,D$93-SUM(E$100:E152))</f>
        <v>0</v>
      </c>
      <c r="E153" s="510">
        <f>IF(+J97&lt;F152,J97,D153)</f>
        <v>0</v>
      </c>
      <c r="F153" s="511">
        <f t="shared" si="34"/>
        <v>0</v>
      </c>
      <c r="G153" s="511">
        <f t="shared" si="27"/>
        <v>0</v>
      </c>
      <c r="H153" s="524">
        <f t="shared" si="28"/>
        <v>0</v>
      </c>
      <c r="I153" s="573">
        <f t="shared" si="29"/>
        <v>0</v>
      </c>
      <c r="J153" s="505">
        <f t="shared" si="30"/>
        <v>0</v>
      </c>
      <c r="K153" s="505"/>
      <c r="L153" s="513"/>
      <c r="M153" s="505">
        <f t="shared" si="31"/>
        <v>0</v>
      </c>
      <c r="N153" s="513"/>
      <c r="O153" s="505">
        <f t="shared" si="32"/>
        <v>0</v>
      </c>
      <c r="P153" s="505">
        <f t="shared" si="33"/>
        <v>0</v>
      </c>
      <c r="Q153" s="244"/>
      <c r="R153" s="244"/>
      <c r="S153" s="244"/>
      <c r="T153" s="244"/>
      <c r="U153" s="244"/>
    </row>
    <row r="154" spans="2:21">
      <c r="B154" s="145" t="str">
        <f t="shared" si="26"/>
        <v/>
      </c>
      <c r="C154" s="496">
        <f>IF(D94="","-",+C153+1)</f>
        <v>2066</v>
      </c>
      <c r="D154" s="350">
        <f>IF(F153+SUM(E$100:E153)=D$93,F153,D$93-SUM(E$100:E153))</f>
        <v>0</v>
      </c>
      <c r="E154" s="510">
        <f>IF(+J97&lt;F153,J97,D154)</f>
        <v>0</v>
      </c>
      <c r="F154" s="511">
        <f t="shared" si="34"/>
        <v>0</v>
      </c>
      <c r="G154" s="511">
        <f t="shared" si="27"/>
        <v>0</v>
      </c>
      <c r="H154" s="524">
        <f t="shared" si="28"/>
        <v>0</v>
      </c>
      <c r="I154" s="573">
        <f t="shared" si="29"/>
        <v>0</v>
      </c>
      <c r="J154" s="505">
        <f t="shared" si="30"/>
        <v>0</v>
      </c>
      <c r="K154" s="505"/>
      <c r="L154" s="513"/>
      <c r="M154" s="505">
        <f t="shared" si="31"/>
        <v>0</v>
      </c>
      <c r="N154" s="513"/>
      <c r="O154" s="505">
        <f t="shared" si="32"/>
        <v>0</v>
      </c>
      <c r="P154" s="505">
        <f t="shared" si="33"/>
        <v>0</v>
      </c>
      <c r="Q154" s="244"/>
      <c r="R154" s="244"/>
      <c r="S154" s="244"/>
      <c r="T154" s="244"/>
      <c r="U154" s="244"/>
    </row>
    <row r="155" spans="2:21" ht="13.5" thickBot="1">
      <c r="B155" s="145" t="str">
        <f t="shared" si="26"/>
        <v/>
      </c>
      <c r="C155" s="525">
        <f>IF(D94="","-",+C154+1)</f>
        <v>2067</v>
      </c>
      <c r="D155" s="528">
        <f>IF(F154+SUM(E$100:E154)=D$93,F154,D$93-SUM(E$100:E154))</f>
        <v>0</v>
      </c>
      <c r="E155" s="527">
        <f>IF(+J97&lt;F154,J97,D155)</f>
        <v>0</v>
      </c>
      <c r="F155" s="528">
        <f t="shared" si="34"/>
        <v>0</v>
      </c>
      <c r="G155" s="528">
        <f t="shared" si="27"/>
        <v>0</v>
      </c>
      <c r="H155" s="529">
        <f t="shared" si="28"/>
        <v>0</v>
      </c>
      <c r="I155" s="574">
        <f t="shared" si="29"/>
        <v>0</v>
      </c>
      <c r="J155" s="532">
        <f t="shared" si="30"/>
        <v>0</v>
      </c>
      <c r="K155" s="505"/>
      <c r="L155" s="531"/>
      <c r="M155" s="532">
        <f t="shared" si="31"/>
        <v>0</v>
      </c>
      <c r="N155" s="531"/>
      <c r="O155" s="532">
        <f t="shared" si="32"/>
        <v>0</v>
      </c>
      <c r="P155" s="532">
        <f t="shared" si="33"/>
        <v>0</v>
      </c>
      <c r="Q155" s="244"/>
      <c r="R155" s="244"/>
      <c r="S155" s="244"/>
      <c r="T155" s="244"/>
      <c r="U155" s="244"/>
    </row>
    <row r="156" spans="2:21">
      <c r="C156" s="350" t="s">
        <v>75</v>
      </c>
      <c r="D156" s="295"/>
      <c r="E156" s="295">
        <f>SUM(E100:E155)</f>
        <v>0</v>
      </c>
      <c r="F156" s="295"/>
      <c r="G156" s="295"/>
      <c r="H156" s="295">
        <f>SUM(H100:H155)</f>
        <v>0</v>
      </c>
      <c r="I156" s="295">
        <f>SUM(I100:I155)</f>
        <v>0</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2" priority="1" stopIfTrue="1" operator="equal">
      <formula>$I$10</formula>
    </cfRule>
  </conditionalFormatting>
  <conditionalFormatting sqref="C100:C155">
    <cfRule type="cellIs" dxfId="41"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4"/>
  <dimension ref="A1:U163"/>
  <sheetViews>
    <sheetView zoomScaleNormal="100" zoomScaleSheetLayoutView="85" workbookViewId="0">
      <selection activeCell="U34" sqref="U34"/>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8" t="s">
        <v>189</v>
      </c>
      <c r="B1" s="244"/>
      <c r="C1" s="249"/>
      <c r="D1" s="293"/>
      <c r="E1" s="244"/>
      <c r="F1" s="340"/>
      <c r="G1" s="244"/>
      <c r="H1" s="326"/>
      <c r="J1" s="221"/>
      <c r="K1" s="439"/>
      <c r="L1" s="439"/>
      <c r="M1" s="439"/>
      <c r="P1" s="440" t="str">
        <f ca="1">"OKT Project "&amp;RIGHT(MID(CELL("filename",$A$1),FIND("]",CELL("filename",$A$1))+1,256),1)&amp;" of "&amp;COUNT('OKT.001:OKT.xyz - blank'!$P$3)-1</f>
        <v>OKT Project 6 of 20</v>
      </c>
      <c r="Q1" s="441"/>
      <c r="R1" s="244"/>
      <c r="S1" s="244"/>
      <c r="T1" s="244"/>
      <c r="U1" s="244">
        <v>2017</v>
      </c>
    </row>
    <row r="2" spans="1:21" ht="18">
      <c r="B2" s="244"/>
      <c r="C2" s="244"/>
      <c r="D2" s="293"/>
      <c r="E2" s="244"/>
      <c r="F2" s="244"/>
      <c r="G2" s="244"/>
      <c r="H2" s="326"/>
      <c r="I2" s="244"/>
      <c r="J2" s="279"/>
      <c r="K2" s="244"/>
      <c r="L2" s="244"/>
      <c r="M2" s="244"/>
      <c r="N2" s="244"/>
      <c r="P2" s="442" t="s">
        <v>131</v>
      </c>
      <c r="R2" s="244"/>
      <c r="S2" s="244"/>
      <c r="T2" s="244"/>
      <c r="U2" s="244"/>
    </row>
    <row r="3" spans="1:21" ht="18.75">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5.75" thickBot="1">
      <c r="C4" s="305"/>
      <c r="D4" s="293"/>
      <c r="E4" s="244"/>
      <c r="F4" s="244"/>
      <c r="G4" s="244"/>
      <c r="H4" s="326"/>
      <c r="I4" s="326"/>
      <c r="J4" s="295"/>
      <c r="K4" s="326"/>
      <c r="L4" s="326"/>
      <c r="M4" s="326"/>
      <c r="N4" s="326"/>
      <c r="O4" s="244"/>
      <c r="P4" s="244"/>
      <c r="R4" s="244"/>
      <c r="S4" s="244"/>
      <c r="T4" s="244"/>
      <c r="U4" s="244"/>
    </row>
    <row r="5" spans="1:21" ht="15">
      <c r="C5" s="444" t="s">
        <v>44</v>
      </c>
      <c r="D5" s="293"/>
      <c r="E5" s="244"/>
      <c r="F5" s="244"/>
      <c r="G5" s="445"/>
      <c r="H5" s="244" t="s">
        <v>45</v>
      </c>
      <c r="I5" s="244"/>
      <c r="J5" s="279"/>
      <c r="K5" s="446" t="s">
        <v>242</v>
      </c>
      <c r="L5" s="447"/>
      <c r="M5" s="448"/>
      <c r="N5" s="449">
        <f>VLOOKUP(I10,C17:I73,5)</f>
        <v>3454824.1726137344</v>
      </c>
      <c r="P5" s="244"/>
      <c r="R5" s="244"/>
      <c r="S5" s="244"/>
      <c r="T5" s="244"/>
      <c r="U5" s="244"/>
    </row>
    <row r="6" spans="1:21" ht="15.75">
      <c r="C6" s="236"/>
      <c r="D6" s="293"/>
      <c r="E6" s="244"/>
      <c r="F6" s="244"/>
      <c r="G6" s="244"/>
      <c r="H6" s="450"/>
      <c r="I6" s="450"/>
      <c r="J6" s="451"/>
      <c r="K6" s="452" t="s">
        <v>243</v>
      </c>
      <c r="L6" s="453"/>
      <c r="M6" s="279"/>
      <c r="N6" s="454">
        <f>VLOOKUP(I10,C17:I73,6)</f>
        <v>3454824.1726137344</v>
      </c>
      <c r="O6" s="244"/>
      <c r="P6" s="244"/>
      <c r="R6" s="244"/>
      <c r="S6" s="244"/>
      <c r="T6" s="244"/>
      <c r="U6" s="244"/>
    </row>
    <row r="7" spans="1:21" ht="13.5" thickBot="1">
      <c r="C7" s="455" t="s">
        <v>46</v>
      </c>
      <c r="D7" s="456" t="s">
        <v>206</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205</v>
      </c>
      <c r="E9" s="466"/>
      <c r="F9" s="466"/>
      <c r="G9" s="466"/>
      <c r="H9" s="466"/>
      <c r="I9" s="467"/>
      <c r="J9" s="468"/>
      <c r="O9" s="469"/>
      <c r="P9" s="279"/>
      <c r="R9" s="244"/>
      <c r="S9" s="244"/>
      <c r="T9" s="244"/>
      <c r="U9" s="244"/>
    </row>
    <row r="10" spans="1:21">
      <c r="C10" s="470" t="s">
        <v>49</v>
      </c>
      <c r="D10" s="471">
        <v>28914235.739999998</v>
      </c>
      <c r="E10" s="300" t="s">
        <v>50</v>
      </c>
      <c r="F10" s="469"/>
      <c r="G10" s="409"/>
      <c r="H10" s="409"/>
      <c r="I10" s="472">
        <f>+'OKT.WS.F.BPU.ATRR.Projected'!R100</f>
        <v>2020</v>
      </c>
      <c r="J10" s="468"/>
      <c r="K10" s="295" t="s">
        <v>51</v>
      </c>
      <c r="O10" s="279"/>
      <c r="P10" s="279"/>
      <c r="R10" s="244"/>
      <c r="S10" s="244"/>
      <c r="T10" s="244"/>
      <c r="U10" s="244"/>
    </row>
    <row r="11" spans="1:21">
      <c r="C11" s="473" t="s">
        <v>52</v>
      </c>
      <c r="D11" s="474">
        <v>2013</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c r="C12" s="473" t="s">
        <v>54</v>
      </c>
      <c r="D12" s="471">
        <v>8</v>
      </c>
      <c r="E12" s="473" t="s">
        <v>55</v>
      </c>
      <c r="F12" s="409"/>
      <c r="G12" s="221"/>
      <c r="H12" s="221"/>
      <c r="I12" s="477">
        <f>'OKT.WS.F.BPU.ATRR.Projected'!$F$78</f>
        <v>0.1064171487591708</v>
      </c>
      <c r="J12" s="579"/>
      <c r="K12" s="145" t="s">
        <v>56</v>
      </c>
      <c r="O12" s="279"/>
      <c r="P12" s="279"/>
      <c r="R12" s="244"/>
      <c r="S12" s="244"/>
      <c r="T12" s="244"/>
      <c r="U12" s="244"/>
    </row>
    <row r="13" spans="1:21">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5" thickBot="1">
      <c r="C14" s="473" t="s">
        <v>60</v>
      </c>
      <c r="D14" s="474" t="s">
        <v>61</v>
      </c>
      <c r="E14" s="279" t="s">
        <v>62</v>
      </c>
      <c r="F14" s="409"/>
      <c r="G14" s="221"/>
      <c r="H14" s="221"/>
      <c r="I14" s="478">
        <f>IF(D10=0,0,D10/D13)</f>
        <v>850418.69823529408</v>
      </c>
      <c r="J14" s="295"/>
      <c r="K14" s="295"/>
      <c r="L14" s="295"/>
      <c r="M14" s="295"/>
      <c r="N14" s="295"/>
      <c r="O14" s="279"/>
      <c r="P14" s="279"/>
      <c r="R14" s="244"/>
      <c r="S14" s="244"/>
      <c r="T14" s="244"/>
      <c r="U14" s="244"/>
    </row>
    <row r="15" spans="1:21" ht="38.25">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c r="B17" s="145" t="str">
        <f t="shared" ref="B17:B49" si="0">IF(D17=F16,"","IU")</f>
        <v>IU</v>
      </c>
      <c r="C17" s="581">
        <f>IF(D11= "","-",D11)</f>
        <v>2013</v>
      </c>
      <c r="D17" s="497">
        <v>6627800</v>
      </c>
      <c r="E17" s="498">
        <v>57327.852379007891</v>
      </c>
      <c r="F17" s="497">
        <v>6570472.1476209918</v>
      </c>
      <c r="G17" s="499">
        <v>692344.48890277033</v>
      </c>
      <c r="H17" s="500">
        <v>692344.48890277033</v>
      </c>
      <c r="I17" s="585">
        <v>0</v>
      </c>
      <c r="J17" s="501"/>
      <c r="K17" s="502">
        <f t="shared" ref="K17:K22" si="1">G17</f>
        <v>692344.48890277033</v>
      </c>
      <c r="L17" s="608">
        <f t="shared" ref="L17:L49" si="2">IF(K17&lt;&gt;0,+G17-K17,0)</f>
        <v>0</v>
      </c>
      <c r="M17" s="609">
        <f t="shared" ref="M17:M22" si="3">H17</f>
        <v>692344.48890277033</v>
      </c>
      <c r="N17" s="587">
        <f t="shared" ref="N17:N49" si="4">IF(M17&lt;&gt;0,+H17-M17,0)</f>
        <v>0</v>
      </c>
      <c r="O17" s="505">
        <f t="shared" ref="O17:O49" si="5">+N17-L17</f>
        <v>0</v>
      </c>
      <c r="P17" s="279"/>
      <c r="R17" s="244"/>
      <c r="S17" s="244"/>
      <c r="T17" s="244"/>
      <c r="U17" s="244"/>
    </row>
    <row r="18" spans="2:21">
      <c r="B18" s="145" t="str">
        <f t="shared" si="0"/>
        <v>IU</v>
      </c>
      <c r="C18" s="496">
        <f>IF(D11="","-",+C17+1)</f>
        <v>2014</v>
      </c>
      <c r="D18" s="506">
        <v>28510458.147620991</v>
      </c>
      <c r="E18" s="499">
        <v>494200.13235254184</v>
      </c>
      <c r="F18" s="506">
        <v>28016258.015268449</v>
      </c>
      <c r="G18" s="499">
        <v>3554730.1038106573</v>
      </c>
      <c r="H18" s="500">
        <v>3554730.1038106573</v>
      </c>
      <c r="I18" s="501">
        <v>0</v>
      </c>
      <c r="J18" s="501"/>
      <c r="K18" s="507">
        <f t="shared" si="1"/>
        <v>3554730.1038106573</v>
      </c>
      <c r="L18" s="610">
        <f t="shared" ref="L18:L23" si="6">IF(K18&lt;&gt;0,+G18-K18,0)</f>
        <v>0</v>
      </c>
      <c r="M18" s="611">
        <f t="shared" si="3"/>
        <v>3554730.1038106573</v>
      </c>
      <c r="N18" s="501">
        <f>IF(M18&lt;&gt;0,+H18-M18,0)</f>
        <v>0</v>
      </c>
      <c r="O18" s="505">
        <f>+N18-L18</f>
        <v>0</v>
      </c>
      <c r="P18" s="279"/>
      <c r="R18" s="244"/>
      <c r="S18" s="244"/>
      <c r="T18" s="244"/>
      <c r="U18" s="244"/>
    </row>
    <row r="19" spans="2:21">
      <c r="B19" s="145" t="str">
        <f t="shared" si="0"/>
        <v>IU</v>
      </c>
      <c r="C19" s="496">
        <f>IF(D11="","-",+C18+1)</f>
        <v>2015</v>
      </c>
      <c r="D19" s="506">
        <v>28130872.015268449</v>
      </c>
      <c r="E19" s="499">
        <v>496182.86401993298</v>
      </c>
      <c r="F19" s="506">
        <v>27634689.151248515</v>
      </c>
      <c r="G19" s="499">
        <v>3536753.8544176081</v>
      </c>
      <c r="H19" s="500">
        <v>3536753.8544176081</v>
      </c>
      <c r="I19" s="501">
        <v>0</v>
      </c>
      <c r="J19" s="501"/>
      <c r="K19" s="507">
        <f t="shared" si="1"/>
        <v>3536753.8544176081</v>
      </c>
      <c r="L19" s="508">
        <f t="shared" si="6"/>
        <v>0</v>
      </c>
      <c r="M19" s="507">
        <f t="shared" si="3"/>
        <v>3536753.8544176081</v>
      </c>
      <c r="N19" s="505">
        <f>IF(M19&lt;&gt;0,+H19-M19,0)</f>
        <v>0</v>
      </c>
      <c r="O19" s="505">
        <f>+N19-L19</f>
        <v>0</v>
      </c>
      <c r="P19" s="279"/>
      <c r="R19" s="244"/>
      <c r="S19" s="244"/>
      <c r="T19" s="244"/>
      <c r="U19" s="244"/>
    </row>
    <row r="20" spans="2:21">
      <c r="B20" s="145" t="str">
        <f t="shared" si="0"/>
        <v>IU</v>
      </c>
      <c r="C20" s="496">
        <f>IF(D11="","-",+C19+1)</f>
        <v>2016</v>
      </c>
      <c r="D20" s="506">
        <v>27866524.891248517</v>
      </c>
      <c r="E20" s="499">
        <v>600822.03590460983</v>
      </c>
      <c r="F20" s="506">
        <v>27265702.855343908</v>
      </c>
      <c r="G20" s="499">
        <v>3542256.1502628839</v>
      </c>
      <c r="H20" s="500">
        <v>3542256.1502628839</v>
      </c>
      <c r="I20" s="501">
        <f t="shared" ref="I20:I49" si="7">H20-G20</f>
        <v>0</v>
      </c>
      <c r="J20" s="501"/>
      <c r="K20" s="507">
        <f t="shared" si="1"/>
        <v>3542256.1502628839</v>
      </c>
      <c r="L20" s="508">
        <f t="shared" si="6"/>
        <v>0</v>
      </c>
      <c r="M20" s="507">
        <f t="shared" si="3"/>
        <v>3542256.1502628839</v>
      </c>
      <c r="N20" s="505">
        <f t="shared" si="4"/>
        <v>0</v>
      </c>
      <c r="O20" s="505">
        <f t="shared" si="5"/>
        <v>0</v>
      </c>
      <c r="P20" s="279"/>
      <c r="R20" s="244"/>
      <c r="S20" s="244"/>
      <c r="T20" s="244"/>
      <c r="U20" s="244"/>
    </row>
    <row r="21" spans="2:21">
      <c r="B21" s="145" t="str">
        <f t="shared" si="0"/>
        <v/>
      </c>
      <c r="C21" s="496">
        <f>IF(D12="","-",+C20+1)</f>
        <v>2017</v>
      </c>
      <c r="D21" s="506">
        <v>27265702.855343908</v>
      </c>
      <c r="E21" s="499">
        <v>568511.11858112796</v>
      </c>
      <c r="F21" s="506">
        <v>26697191.736762781</v>
      </c>
      <c r="G21" s="499">
        <v>3534850.6884225709</v>
      </c>
      <c r="H21" s="500">
        <v>3534850.6884225709</v>
      </c>
      <c r="I21" s="501">
        <f t="shared" si="7"/>
        <v>0</v>
      </c>
      <c r="J21" s="501"/>
      <c r="K21" s="507">
        <f t="shared" si="1"/>
        <v>3534850.6884225709</v>
      </c>
      <c r="L21" s="508">
        <f t="shared" si="6"/>
        <v>0</v>
      </c>
      <c r="M21" s="507">
        <f t="shared" si="3"/>
        <v>3534850.6884225709</v>
      </c>
      <c r="N21" s="505">
        <f>IF(M21&lt;&gt;0,+H21-M21,0)</f>
        <v>0</v>
      </c>
      <c r="O21" s="505">
        <f>+N21-L21</f>
        <v>0</v>
      </c>
      <c r="P21" s="279"/>
      <c r="R21" s="244"/>
      <c r="S21" s="244"/>
      <c r="T21" s="244"/>
      <c r="U21" s="244"/>
    </row>
    <row r="22" spans="2:21">
      <c r="B22" s="145" t="str">
        <f t="shared" si="0"/>
        <v/>
      </c>
      <c r="C22" s="496">
        <f>IF(D11="","-",+C21+1)</f>
        <v>2018</v>
      </c>
      <c r="D22" s="506">
        <v>26697191.736762781</v>
      </c>
      <c r="E22" s="499">
        <v>709109.54353113449</v>
      </c>
      <c r="F22" s="506">
        <v>25988082.193231646</v>
      </c>
      <c r="G22" s="499">
        <v>3804133.0137326475</v>
      </c>
      <c r="H22" s="500">
        <v>3804133.0137326475</v>
      </c>
      <c r="I22" s="501">
        <v>0</v>
      </c>
      <c r="J22" s="501"/>
      <c r="K22" s="507">
        <f t="shared" si="1"/>
        <v>3804133.0137326475</v>
      </c>
      <c r="L22" s="508">
        <f t="shared" si="6"/>
        <v>0</v>
      </c>
      <c r="M22" s="507">
        <f t="shared" si="3"/>
        <v>3804133.0137326475</v>
      </c>
      <c r="N22" s="505">
        <f>IF(M22&lt;&gt;0,+H22-M22,0)</f>
        <v>0</v>
      </c>
      <c r="O22" s="505">
        <f>+N22-L22</f>
        <v>0</v>
      </c>
      <c r="P22" s="279"/>
      <c r="R22" s="244"/>
      <c r="S22" s="244"/>
      <c r="T22" s="244"/>
      <c r="U22" s="244"/>
    </row>
    <row r="23" spans="2:21">
      <c r="B23" s="145" t="str">
        <f t="shared" si="0"/>
        <v/>
      </c>
      <c r="C23" s="496">
        <f>IF(D11="","-",+C22+1)</f>
        <v>2019</v>
      </c>
      <c r="D23" s="506">
        <v>25988082.193231646</v>
      </c>
      <c r="E23" s="499">
        <v>709109.54353113449</v>
      </c>
      <c r="F23" s="506">
        <v>25278972.649700511</v>
      </c>
      <c r="G23" s="499">
        <v>3720819.0052266289</v>
      </c>
      <c r="H23" s="500">
        <v>3720819.0052266289</v>
      </c>
      <c r="I23" s="501">
        <f t="shared" si="7"/>
        <v>0</v>
      </c>
      <c r="J23" s="501"/>
      <c r="K23" s="507">
        <f t="shared" ref="K23" si="8">G23</f>
        <v>3720819.0052266289</v>
      </c>
      <c r="L23" s="508">
        <f t="shared" si="6"/>
        <v>0</v>
      </c>
      <c r="M23" s="507">
        <f t="shared" ref="M23" si="9">H23</f>
        <v>3720819.0052266289</v>
      </c>
      <c r="N23" s="505">
        <f>IF(M23&lt;&gt;0,+H23-M23,0)</f>
        <v>0</v>
      </c>
      <c r="O23" s="505">
        <f>+N23-L23</f>
        <v>0</v>
      </c>
      <c r="P23" s="279"/>
      <c r="R23" s="244"/>
      <c r="S23" s="244"/>
      <c r="T23" s="244"/>
      <c r="U23" s="244"/>
    </row>
    <row r="24" spans="2:21">
      <c r="B24" s="145" t="str">
        <f t="shared" si="0"/>
        <v/>
      </c>
      <c r="C24" s="496">
        <f>IF(D11="","-",+C23+1)</f>
        <v>2020</v>
      </c>
      <c r="D24" s="506">
        <v>25278972.649700511</v>
      </c>
      <c r="E24" s="499">
        <v>846660.3033934671</v>
      </c>
      <c r="F24" s="506">
        <v>24432312.346307043</v>
      </c>
      <c r="G24" s="499">
        <v>3454824.1726137344</v>
      </c>
      <c r="H24" s="500">
        <v>3454824.1726137344</v>
      </c>
      <c r="I24" s="501">
        <f t="shared" si="7"/>
        <v>0</v>
      </c>
      <c r="J24" s="501"/>
      <c r="K24" s="507">
        <f t="shared" ref="K24" si="10">G24</f>
        <v>3454824.1726137344</v>
      </c>
      <c r="L24" s="508">
        <f t="shared" ref="L24" si="11">IF(K24&lt;&gt;0,+G24-K24,0)</f>
        <v>0</v>
      </c>
      <c r="M24" s="507">
        <f t="shared" ref="M24" si="12">H24</f>
        <v>3454824.1726137344</v>
      </c>
      <c r="N24" s="505">
        <f t="shared" si="4"/>
        <v>0</v>
      </c>
      <c r="O24" s="505">
        <f t="shared" si="5"/>
        <v>0</v>
      </c>
      <c r="P24" s="279"/>
      <c r="R24" s="244"/>
      <c r="S24" s="244"/>
      <c r="T24" s="244"/>
      <c r="U24" s="244"/>
    </row>
    <row r="25" spans="2:21">
      <c r="B25" s="145" t="str">
        <f t="shared" si="0"/>
        <v>IU</v>
      </c>
      <c r="C25" s="496">
        <f>IF(D11="","-",+C24+1)</f>
        <v>2021</v>
      </c>
      <c r="D25" s="506">
        <v>24283858.99815407</v>
      </c>
      <c r="E25" s="499">
        <v>932717.2819354838</v>
      </c>
      <c r="F25" s="506">
        <v>23351141.716218587</v>
      </c>
      <c r="G25" s="499">
        <v>3509415.1582725761</v>
      </c>
      <c r="H25" s="500">
        <v>3509415.1582725761</v>
      </c>
      <c r="I25" s="501">
        <f t="shared" si="7"/>
        <v>0</v>
      </c>
      <c r="J25" s="501"/>
      <c r="K25" s="507">
        <f t="shared" ref="K25" si="13">G25</f>
        <v>3509415.1582725761</v>
      </c>
      <c r="L25" s="508">
        <f t="shared" ref="L25" si="14">IF(K25&lt;&gt;0,+G25-K25,0)</f>
        <v>0</v>
      </c>
      <c r="M25" s="507">
        <f t="shared" ref="M25" si="15">H25</f>
        <v>3509415.1582725761</v>
      </c>
      <c r="N25" s="505">
        <f t="shared" si="4"/>
        <v>0</v>
      </c>
      <c r="O25" s="505">
        <f t="shared" si="5"/>
        <v>0</v>
      </c>
      <c r="P25" s="279"/>
      <c r="R25" s="244"/>
      <c r="S25" s="244"/>
      <c r="T25" s="244"/>
      <c r="U25" s="244"/>
    </row>
    <row r="26" spans="2:21">
      <c r="B26" s="145" t="str">
        <f t="shared" si="0"/>
        <v>IU</v>
      </c>
      <c r="C26" s="496">
        <f>IF(D11="","-",+C25+1)</f>
        <v>2022</v>
      </c>
      <c r="D26" s="509">
        <f>IF(F25+SUM(E$17:E25)=D$10,F25,D$10-SUM(E$17:E25))</f>
        <v>23499595.064371556</v>
      </c>
      <c r="E26" s="510">
        <f>IF(+I14&lt;F25,I14,D26)</f>
        <v>850418.69823529408</v>
      </c>
      <c r="F26" s="511">
        <f t="shared" ref="F26:F49" si="16">+D26-E26</f>
        <v>22649176.36613626</v>
      </c>
      <c r="G26" s="512">
        <f t="shared" ref="G26:G73" si="17">(D26+F26)/2*I$12+E26</f>
        <v>3305929.0354219545</v>
      </c>
      <c r="H26" s="478">
        <f t="shared" ref="H26:H73" si="18">+(D26+F26)/2*I$13+E26</f>
        <v>3305929.0354219545</v>
      </c>
      <c r="I26" s="501">
        <f t="shared" si="7"/>
        <v>0</v>
      </c>
      <c r="J26" s="501"/>
      <c r="K26" s="513"/>
      <c r="L26" s="505">
        <f t="shared" si="2"/>
        <v>0</v>
      </c>
      <c r="M26" s="513"/>
      <c r="N26" s="505">
        <f t="shared" si="4"/>
        <v>0</v>
      </c>
      <c r="O26" s="505">
        <f t="shared" si="5"/>
        <v>0</v>
      </c>
      <c r="P26" s="279"/>
      <c r="R26" s="244"/>
      <c r="S26" s="244"/>
      <c r="T26" s="244"/>
      <c r="U26" s="244"/>
    </row>
    <row r="27" spans="2:21">
      <c r="B27" s="145" t="str">
        <f t="shared" si="0"/>
        <v/>
      </c>
      <c r="C27" s="496">
        <f>IF(D11="","-",+C26+1)</f>
        <v>2023</v>
      </c>
      <c r="D27" s="509">
        <f>IF(F26+SUM(E$17:E26)=D$10,F26,D$10-SUM(E$17:E26))</f>
        <v>22649176.36613626</v>
      </c>
      <c r="E27" s="510">
        <f>IF(+I14&lt;F26,I14,D27)</f>
        <v>850418.69823529408</v>
      </c>
      <c r="F27" s="511">
        <f t="shared" si="16"/>
        <v>21798757.667900965</v>
      </c>
      <c r="G27" s="512">
        <f t="shared" si="17"/>
        <v>3215429.9023042694</v>
      </c>
      <c r="H27" s="478">
        <f t="shared" si="18"/>
        <v>3215429.9023042694</v>
      </c>
      <c r="I27" s="501">
        <f t="shared" si="7"/>
        <v>0</v>
      </c>
      <c r="J27" s="501"/>
      <c r="K27" s="513"/>
      <c r="L27" s="505">
        <f t="shared" si="2"/>
        <v>0</v>
      </c>
      <c r="M27" s="513"/>
      <c r="N27" s="505">
        <f t="shared" si="4"/>
        <v>0</v>
      </c>
      <c r="O27" s="505">
        <f t="shared" si="5"/>
        <v>0</v>
      </c>
      <c r="P27" s="279"/>
      <c r="R27" s="244"/>
      <c r="S27" s="244"/>
      <c r="T27" s="244"/>
      <c r="U27" s="244"/>
    </row>
    <row r="28" spans="2:21">
      <c r="B28" s="145" t="str">
        <f t="shared" si="0"/>
        <v/>
      </c>
      <c r="C28" s="496">
        <f>IF(D11="","-",+C27+1)</f>
        <v>2024</v>
      </c>
      <c r="D28" s="509">
        <f>IF(F27+SUM(E$17:E27)=D$10,F27,D$10-SUM(E$17:E27))</f>
        <v>21798757.667900965</v>
      </c>
      <c r="E28" s="510">
        <f>IF(+I14&lt;F27,I14,D28)</f>
        <v>850418.69823529408</v>
      </c>
      <c r="F28" s="511">
        <f t="shared" si="16"/>
        <v>20948338.969665669</v>
      </c>
      <c r="G28" s="512">
        <f t="shared" si="17"/>
        <v>3124930.7691865833</v>
      </c>
      <c r="H28" s="478">
        <f t="shared" si="18"/>
        <v>3124930.7691865833</v>
      </c>
      <c r="I28" s="501">
        <f t="shared" si="7"/>
        <v>0</v>
      </c>
      <c r="J28" s="501"/>
      <c r="K28" s="513"/>
      <c r="L28" s="505">
        <f t="shared" si="2"/>
        <v>0</v>
      </c>
      <c r="M28" s="513"/>
      <c r="N28" s="505">
        <f t="shared" si="4"/>
        <v>0</v>
      </c>
      <c r="O28" s="505">
        <f t="shared" si="5"/>
        <v>0</v>
      </c>
      <c r="P28" s="279"/>
      <c r="R28" s="244"/>
      <c r="S28" s="244"/>
      <c r="T28" s="244"/>
      <c r="U28" s="244"/>
    </row>
    <row r="29" spans="2:21">
      <c r="B29" s="145" t="str">
        <f t="shared" si="0"/>
        <v/>
      </c>
      <c r="C29" s="496">
        <f>IF(D11="","-",+C28+1)</f>
        <v>2025</v>
      </c>
      <c r="D29" s="509">
        <f>IF(F28+SUM(E$17:E28)=D$10,F28,D$10-SUM(E$17:E28))</f>
        <v>20948338.969665669</v>
      </c>
      <c r="E29" s="510">
        <f>IF(+I14&lt;F28,I14,D29)</f>
        <v>850418.69823529408</v>
      </c>
      <c r="F29" s="511">
        <f t="shared" si="16"/>
        <v>20097920.271430373</v>
      </c>
      <c r="G29" s="512">
        <f t="shared" si="17"/>
        <v>3034431.6360688973</v>
      </c>
      <c r="H29" s="478">
        <f t="shared" si="18"/>
        <v>3034431.6360688973</v>
      </c>
      <c r="I29" s="501">
        <f t="shared" si="7"/>
        <v>0</v>
      </c>
      <c r="J29" s="501"/>
      <c r="K29" s="513"/>
      <c r="L29" s="505">
        <f t="shared" si="2"/>
        <v>0</v>
      </c>
      <c r="M29" s="513"/>
      <c r="N29" s="505">
        <f t="shared" si="4"/>
        <v>0</v>
      </c>
      <c r="O29" s="505">
        <f t="shared" si="5"/>
        <v>0</v>
      </c>
      <c r="P29" s="279"/>
      <c r="R29" s="244"/>
      <c r="S29" s="244"/>
      <c r="T29" s="244"/>
      <c r="U29" s="244"/>
    </row>
    <row r="30" spans="2:21">
      <c r="B30" s="145" t="str">
        <f t="shared" si="0"/>
        <v/>
      </c>
      <c r="C30" s="496">
        <f>IF(D11="","-",+C29+1)</f>
        <v>2026</v>
      </c>
      <c r="D30" s="509">
        <f>IF(F29+SUM(E$17:E29)=D$10,F29,D$10-SUM(E$17:E29))</f>
        <v>20097920.271430373</v>
      </c>
      <c r="E30" s="510">
        <f>IF(+I14&lt;F29,I14,D30)</f>
        <v>850418.69823529408</v>
      </c>
      <c r="F30" s="511">
        <f t="shared" si="16"/>
        <v>19247501.573195077</v>
      </c>
      <c r="G30" s="512">
        <f t="shared" si="17"/>
        <v>2943932.5029512113</v>
      </c>
      <c r="H30" s="478">
        <f t="shared" si="18"/>
        <v>2943932.5029512113</v>
      </c>
      <c r="I30" s="501">
        <f t="shared" si="7"/>
        <v>0</v>
      </c>
      <c r="J30" s="501"/>
      <c r="K30" s="513"/>
      <c r="L30" s="505">
        <f t="shared" si="2"/>
        <v>0</v>
      </c>
      <c r="M30" s="513"/>
      <c r="N30" s="505">
        <f t="shared" si="4"/>
        <v>0</v>
      </c>
      <c r="O30" s="505">
        <f t="shared" si="5"/>
        <v>0</v>
      </c>
      <c r="P30" s="279"/>
      <c r="R30" s="244"/>
      <c r="S30" s="244"/>
      <c r="T30" s="244"/>
      <c r="U30" s="244"/>
    </row>
    <row r="31" spans="2:21">
      <c r="B31" s="145" t="str">
        <f t="shared" si="0"/>
        <v/>
      </c>
      <c r="C31" s="496">
        <f>IF(D11="","-",+C30+1)</f>
        <v>2027</v>
      </c>
      <c r="D31" s="509">
        <f>IF(F30+SUM(E$17:E30)=D$10,F30,D$10-SUM(E$17:E30))</f>
        <v>19247501.573195077</v>
      </c>
      <c r="E31" s="510">
        <f>IF(+I14&lt;F30,I14,D31)</f>
        <v>850418.69823529408</v>
      </c>
      <c r="F31" s="511">
        <f t="shared" si="16"/>
        <v>18397082.874959782</v>
      </c>
      <c r="G31" s="512">
        <f t="shared" si="17"/>
        <v>2853433.3698335257</v>
      </c>
      <c r="H31" s="478">
        <f t="shared" si="18"/>
        <v>2853433.3698335257</v>
      </c>
      <c r="I31" s="501">
        <f t="shared" si="7"/>
        <v>0</v>
      </c>
      <c r="J31" s="501"/>
      <c r="K31" s="513"/>
      <c r="L31" s="505">
        <f t="shared" si="2"/>
        <v>0</v>
      </c>
      <c r="M31" s="513"/>
      <c r="N31" s="505">
        <f t="shared" si="4"/>
        <v>0</v>
      </c>
      <c r="O31" s="505">
        <f t="shared" si="5"/>
        <v>0</v>
      </c>
      <c r="P31" s="279"/>
      <c r="Q31" s="221"/>
      <c r="R31" s="279"/>
      <c r="S31" s="279"/>
      <c r="T31" s="279"/>
      <c r="U31" s="244"/>
    </row>
    <row r="32" spans="2:21">
      <c r="B32" s="145" t="str">
        <f t="shared" si="0"/>
        <v/>
      </c>
      <c r="C32" s="496">
        <f>IF(D12="","-",+C31+1)</f>
        <v>2028</v>
      </c>
      <c r="D32" s="509">
        <f>IF(F31+SUM(E$17:E31)=D$10,F31,D$10-SUM(E$17:E31))</f>
        <v>18397082.874959782</v>
      </c>
      <c r="E32" s="510">
        <f>IF(+I14&lt;F31,I14,D32)</f>
        <v>850418.69823529408</v>
      </c>
      <c r="F32" s="511">
        <f>+D32-E32</f>
        <v>17546664.176724486</v>
      </c>
      <c r="G32" s="512">
        <f t="shared" si="17"/>
        <v>2762934.2367158402</v>
      </c>
      <c r="H32" s="478">
        <f t="shared" si="18"/>
        <v>2762934.2367158402</v>
      </c>
      <c r="I32" s="501">
        <f>H32-G32</f>
        <v>0</v>
      </c>
      <c r="J32" s="501"/>
      <c r="K32" s="513"/>
      <c r="L32" s="505">
        <f>IF(K32&lt;&gt;0,+G32-K32,0)</f>
        <v>0</v>
      </c>
      <c r="M32" s="513"/>
      <c r="N32" s="505">
        <f>IF(M32&lt;&gt;0,+H32-M32,0)</f>
        <v>0</v>
      </c>
      <c r="O32" s="505">
        <f>+N32-L32</f>
        <v>0</v>
      </c>
      <c r="P32" s="279"/>
      <c r="Q32" s="221"/>
      <c r="R32" s="279"/>
      <c r="S32" s="279"/>
      <c r="T32" s="279"/>
      <c r="U32" s="244"/>
    </row>
    <row r="33" spans="2:21">
      <c r="B33" s="145" t="str">
        <f t="shared" si="0"/>
        <v/>
      </c>
      <c r="C33" s="496">
        <f>IF(D13="","-",+C32+1)</f>
        <v>2029</v>
      </c>
      <c r="D33" s="509">
        <f>IF(F32+SUM(E$17:E32)=D$10,F32,D$10-SUM(E$17:E32))</f>
        <v>17546664.176724486</v>
      </c>
      <c r="E33" s="510">
        <f>IF(+I14&lt;F31,I14,D33)</f>
        <v>850418.69823529408</v>
      </c>
      <c r="F33" s="511">
        <f t="shared" si="16"/>
        <v>16696245.478489192</v>
      </c>
      <c r="G33" s="512">
        <f t="shared" si="17"/>
        <v>2672435.1035981541</v>
      </c>
      <c r="H33" s="478">
        <f t="shared" si="18"/>
        <v>2672435.1035981541</v>
      </c>
      <c r="I33" s="501">
        <f t="shared" si="7"/>
        <v>0</v>
      </c>
      <c r="J33" s="501"/>
      <c r="K33" s="513"/>
      <c r="L33" s="505">
        <f t="shared" si="2"/>
        <v>0</v>
      </c>
      <c r="M33" s="513"/>
      <c r="N33" s="505">
        <f t="shared" si="4"/>
        <v>0</v>
      </c>
      <c r="O33" s="505">
        <f t="shared" si="5"/>
        <v>0</v>
      </c>
      <c r="P33" s="279"/>
      <c r="R33" s="244"/>
      <c r="S33" s="244"/>
      <c r="T33" s="244"/>
      <c r="U33" s="244"/>
    </row>
    <row r="34" spans="2:21">
      <c r="B34" s="145" t="str">
        <f t="shared" si="0"/>
        <v/>
      </c>
      <c r="C34" s="514">
        <f>IF(D11="","-",+C33+1)</f>
        <v>2030</v>
      </c>
      <c r="D34" s="515">
        <f>IF(F33+SUM(E$17:E33)=D$10,F33,D$10-SUM(E$17:E33))</f>
        <v>16696245.478489192</v>
      </c>
      <c r="E34" s="516">
        <f>IF(+I14&lt;F33,I14,D34)</f>
        <v>850418.69823529408</v>
      </c>
      <c r="F34" s="517">
        <f t="shared" si="16"/>
        <v>15845826.780253898</v>
      </c>
      <c r="G34" s="518">
        <f t="shared" si="17"/>
        <v>2581935.9704804686</v>
      </c>
      <c r="H34" s="519">
        <f t="shared" si="18"/>
        <v>2581935.9704804686</v>
      </c>
      <c r="I34" s="520">
        <f t="shared" si="7"/>
        <v>0</v>
      </c>
      <c r="J34" s="520"/>
      <c r="K34" s="521"/>
      <c r="L34" s="522">
        <f t="shared" si="2"/>
        <v>0</v>
      </c>
      <c r="M34" s="521"/>
      <c r="N34" s="522">
        <f t="shared" si="4"/>
        <v>0</v>
      </c>
      <c r="O34" s="522">
        <f t="shared" si="5"/>
        <v>0</v>
      </c>
      <c r="P34" s="523"/>
      <c r="Q34" s="217"/>
      <c r="R34" s="523"/>
      <c r="S34" s="523"/>
      <c r="T34" s="523"/>
      <c r="U34" s="244"/>
    </row>
    <row r="35" spans="2:21">
      <c r="B35" s="145" t="str">
        <f t="shared" si="0"/>
        <v/>
      </c>
      <c r="C35" s="496">
        <f>IF(D11="","-",+C34+1)</f>
        <v>2031</v>
      </c>
      <c r="D35" s="509">
        <f>IF(F34+SUM(E$17:E34)=D$10,F34,D$10-SUM(E$17:E34))</f>
        <v>15845826.780253898</v>
      </c>
      <c r="E35" s="510">
        <f>IF(+I14&lt;F34,I14,D35)</f>
        <v>850418.69823529408</v>
      </c>
      <c r="F35" s="511">
        <f t="shared" si="16"/>
        <v>14995408.082018605</v>
      </c>
      <c r="G35" s="512">
        <f t="shared" si="17"/>
        <v>2491436.837362783</v>
      </c>
      <c r="H35" s="478">
        <f t="shared" si="18"/>
        <v>2491436.837362783</v>
      </c>
      <c r="I35" s="501">
        <f t="shared" si="7"/>
        <v>0</v>
      </c>
      <c r="J35" s="501"/>
      <c r="K35" s="513"/>
      <c r="L35" s="505">
        <f t="shared" si="2"/>
        <v>0</v>
      </c>
      <c r="M35" s="513"/>
      <c r="N35" s="505">
        <f t="shared" si="4"/>
        <v>0</v>
      </c>
      <c r="O35" s="505">
        <f t="shared" si="5"/>
        <v>0</v>
      </c>
      <c r="P35" s="279"/>
      <c r="R35" s="244"/>
      <c r="S35" s="244"/>
      <c r="T35" s="244"/>
      <c r="U35" s="244"/>
    </row>
    <row r="36" spans="2:21">
      <c r="B36" s="145" t="str">
        <f t="shared" si="0"/>
        <v/>
      </c>
      <c r="C36" s="496">
        <f>IF(D11="","-",+C35+1)</f>
        <v>2032</v>
      </c>
      <c r="D36" s="509">
        <f>IF(F35+SUM(E$17:E35)=D$10,F35,D$10-SUM(E$17:E35))</f>
        <v>14995408.082018605</v>
      </c>
      <c r="E36" s="510">
        <f>IF(+I14&lt;F35,I14,D36)</f>
        <v>850418.69823529408</v>
      </c>
      <c r="F36" s="511">
        <f t="shared" si="16"/>
        <v>14144989.383783311</v>
      </c>
      <c r="G36" s="512">
        <f t="shared" si="17"/>
        <v>2400937.704245097</v>
      </c>
      <c r="H36" s="478">
        <f t="shared" si="18"/>
        <v>2400937.704245097</v>
      </c>
      <c r="I36" s="501">
        <f t="shared" si="7"/>
        <v>0</v>
      </c>
      <c r="J36" s="501"/>
      <c r="K36" s="513"/>
      <c r="L36" s="505">
        <f t="shared" si="2"/>
        <v>0</v>
      </c>
      <c r="M36" s="513"/>
      <c r="N36" s="505">
        <f t="shared" si="4"/>
        <v>0</v>
      </c>
      <c r="O36" s="505">
        <f t="shared" si="5"/>
        <v>0</v>
      </c>
      <c r="P36" s="279"/>
      <c r="R36" s="244"/>
      <c r="S36" s="244"/>
      <c r="T36" s="244"/>
      <c r="U36" s="244"/>
    </row>
    <row r="37" spans="2:21">
      <c r="B37" s="145" t="str">
        <f t="shared" si="0"/>
        <v/>
      </c>
      <c r="C37" s="496">
        <f>IF(D11="","-",+C36+1)</f>
        <v>2033</v>
      </c>
      <c r="D37" s="509">
        <f>IF(F36+SUM(E$17:E36)=D$10,F36,D$10-SUM(E$17:E36))</f>
        <v>14144989.383783311</v>
      </c>
      <c r="E37" s="510">
        <f>IF(+I14&lt;F36,I14,D37)</f>
        <v>850418.69823529408</v>
      </c>
      <c r="F37" s="511">
        <f t="shared" si="16"/>
        <v>13294570.685548017</v>
      </c>
      <c r="G37" s="512">
        <f t="shared" si="17"/>
        <v>2310438.5711274114</v>
      </c>
      <c r="H37" s="478">
        <f t="shared" si="18"/>
        <v>2310438.5711274114</v>
      </c>
      <c r="I37" s="501">
        <f t="shared" si="7"/>
        <v>0</v>
      </c>
      <c r="J37" s="501"/>
      <c r="K37" s="513"/>
      <c r="L37" s="505">
        <f t="shared" si="2"/>
        <v>0</v>
      </c>
      <c r="M37" s="513"/>
      <c r="N37" s="505">
        <f t="shared" si="4"/>
        <v>0</v>
      </c>
      <c r="O37" s="505">
        <f t="shared" si="5"/>
        <v>0</v>
      </c>
      <c r="P37" s="279"/>
      <c r="R37" s="244"/>
      <c r="S37" s="244"/>
      <c r="T37" s="244"/>
      <c r="U37" s="244"/>
    </row>
    <row r="38" spans="2:21">
      <c r="B38" s="145" t="str">
        <f t="shared" si="0"/>
        <v/>
      </c>
      <c r="C38" s="496">
        <f>IF(D11="","-",+C37+1)</f>
        <v>2034</v>
      </c>
      <c r="D38" s="509">
        <f>IF(F37+SUM(E$17:E37)=D$10,F37,D$10-SUM(E$17:E37))</f>
        <v>13294570.685548017</v>
      </c>
      <c r="E38" s="510">
        <f>IF(+I14&lt;F37,I14,D38)</f>
        <v>850418.69823529408</v>
      </c>
      <c r="F38" s="511">
        <f t="shared" si="16"/>
        <v>12444151.987312723</v>
      </c>
      <c r="G38" s="512">
        <f t="shared" si="17"/>
        <v>2219939.4380097259</v>
      </c>
      <c r="H38" s="478">
        <f t="shared" si="18"/>
        <v>2219939.4380097259</v>
      </c>
      <c r="I38" s="501">
        <f t="shared" si="7"/>
        <v>0</v>
      </c>
      <c r="J38" s="501"/>
      <c r="K38" s="513"/>
      <c r="L38" s="505">
        <f t="shared" si="2"/>
        <v>0</v>
      </c>
      <c r="M38" s="513"/>
      <c r="N38" s="505">
        <f t="shared" si="4"/>
        <v>0</v>
      </c>
      <c r="O38" s="505">
        <f t="shared" si="5"/>
        <v>0</v>
      </c>
      <c r="P38" s="279"/>
      <c r="R38" s="244"/>
      <c r="S38" s="244"/>
      <c r="T38" s="244"/>
      <c r="U38" s="244"/>
    </row>
    <row r="39" spans="2:21">
      <c r="B39" s="145" t="str">
        <f t="shared" si="0"/>
        <v/>
      </c>
      <c r="C39" s="496">
        <f>IF(D11="","-",+C38+1)</f>
        <v>2035</v>
      </c>
      <c r="D39" s="509">
        <f>IF(F38+SUM(E$17:E38)=D$10,F38,D$10-SUM(E$17:E38))</f>
        <v>12444151.987312723</v>
      </c>
      <c r="E39" s="510">
        <f>IF(+I14&lt;F38,I14,D39)</f>
        <v>850418.69823529408</v>
      </c>
      <c r="F39" s="511">
        <f t="shared" si="16"/>
        <v>11593733.289077429</v>
      </c>
      <c r="G39" s="512">
        <f t="shared" si="17"/>
        <v>2129440.3048920399</v>
      </c>
      <c r="H39" s="478">
        <f t="shared" si="18"/>
        <v>2129440.3048920399</v>
      </c>
      <c r="I39" s="501">
        <f t="shared" si="7"/>
        <v>0</v>
      </c>
      <c r="J39" s="501"/>
      <c r="K39" s="513"/>
      <c r="L39" s="505">
        <f t="shared" si="2"/>
        <v>0</v>
      </c>
      <c r="M39" s="513"/>
      <c r="N39" s="505">
        <f t="shared" si="4"/>
        <v>0</v>
      </c>
      <c r="O39" s="505">
        <f t="shared" si="5"/>
        <v>0</v>
      </c>
      <c r="P39" s="279"/>
      <c r="R39" s="244"/>
      <c r="S39" s="244"/>
      <c r="T39" s="244"/>
      <c r="U39" s="244"/>
    </row>
    <row r="40" spans="2:21">
      <c r="B40" s="145" t="str">
        <f t="shared" si="0"/>
        <v/>
      </c>
      <c r="C40" s="496">
        <f>IF(D11="","-",+C39+1)</f>
        <v>2036</v>
      </c>
      <c r="D40" s="509">
        <f>IF(F39+SUM(E$17:E39)=D$10,F39,D$10-SUM(E$17:E39))</f>
        <v>11593733.289077429</v>
      </c>
      <c r="E40" s="510">
        <f>IF(+I14&lt;F39,I14,D40)</f>
        <v>850418.69823529408</v>
      </c>
      <c r="F40" s="511">
        <f t="shared" si="16"/>
        <v>10743314.590842135</v>
      </c>
      <c r="G40" s="512">
        <f t="shared" si="17"/>
        <v>2038941.1717743548</v>
      </c>
      <c r="H40" s="478">
        <f t="shared" si="18"/>
        <v>2038941.1717743548</v>
      </c>
      <c r="I40" s="501">
        <f t="shared" si="7"/>
        <v>0</v>
      </c>
      <c r="J40" s="501"/>
      <c r="K40" s="513"/>
      <c r="L40" s="505">
        <f t="shared" si="2"/>
        <v>0</v>
      </c>
      <c r="M40" s="513"/>
      <c r="N40" s="505">
        <f t="shared" si="4"/>
        <v>0</v>
      </c>
      <c r="O40" s="505">
        <f t="shared" si="5"/>
        <v>0</v>
      </c>
      <c r="P40" s="279"/>
      <c r="R40" s="244"/>
      <c r="S40" s="244"/>
      <c r="T40" s="244"/>
      <c r="U40" s="244"/>
    </row>
    <row r="41" spans="2:21">
      <c r="B41" s="145" t="str">
        <f t="shared" si="0"/>
        <v/>
      </c>
      <c r="C41" s="496">
        <f>IF(D12="","-",+C40+1)</f>
        <v>2037</v>
      </c>
      <c r="D41" s="509">
        <f>IF(F40+SUM(E$17:E40)=D$10,F40,D$10-SUM(E$17:E40))</f>
        <v>10743314.590842135</v>
      </c>
      <c r="E41" s="510">
        <f>IF(+I14&lt;F40,I14,D41)</f>
        <v>850418.69823529408</v>
      </c>
      <c r="F41" s="511">
        <f t="shared" si="16"/>
        <v>9892895.8926068414</v>
      </c>
      <c r="G41" s="512">
        <f t="shared" si="17"/>
        <v>1948442.0386566687</v>
      </c>
      <c r="H41" s="478">
        <f t="shared" si="18"/>
        <v>1948442.0386566687</v>
      </c>
      <c r="I41" s="501">
        <f t="shared" si="7"/>
        <v>0</v>
      </c>
      <c r="J41" s="501"/>
      <c r="K41" s="513"/>
      <c r="L41" s="505">
        <f t="shared" si="2"/>
        <v>0</v>
      </c>
      <c r="M41" s="513"/>
      <c r="N41" s="505">
        <f t="shared" si="4"/>
        <v>0</v>
      </c>
      <c r="O41" s="505">
        <f t="shared" si="5"/>
        <v>0</v>
      </c>
      <c r="P41" s="279"/>
      <c r="R41" s="244"/>
      <c r="S41" s="244"/>
      <c r="T41" s="244"/>
      <c r="U41" s="244"/>
    </row>
    <row r="42" spans="2:21">
      <c r="B42" s="145" t="str">
        <f t="shared" si="0"/>
        <v/>
      </c>
      <c r="C42" s="496">
        <f>IF(D13="","-",+C41+1)</f>
        <v>2038</v>
      </c>
      <c r="D42" s="509">
        <f>IF(F41+SUM(E$17:E41)=D$10,F41,D$10-SUM(E$17:E41))</f>
        <v>9892895.8926068414</v>
      </c>
      <c r="E42" s="510">
        <f>IF(+I14&lt;F41,I14,D42)</f>
        <v>850418.69823529408</v>
      </c>
      <c r="F42" s="511">
        <f t="shared" si="16"/>
        <v>9042477.1943715475</v>
      </c>
      <c r="G42" s="512">
        <f t="shared" si="17"/>
        <v>1857942.9055389834</v>
      </c>
      <c r="H42" s="478">
        <f t="shared" si="18"/>
        <v>1857942.9055389834</v>
      </c>
      <c r="I42" s="501">
        <f t="shared" si="7"/>
        <v>0</v>
      </c>
      <c r="J42" s="501"/>
      <c r="K42" s="513"/>
      <c r="L42" s="505">
        <f t="shared" si="2"/>
        <v>0</v>
      </c>
      <c r="M42" s="513"/>
      <c r="N42" s="505">
        <f t="shared" si="4"/>
        <v>0</v>
      </c>
      <c r="O42" s="505">
        <f t="shared" si="5"/>
        <v>0</v>
      </c>
      <c r="P42" s="279"/>
      <c r="R42" s="244"/>
      <c r="S42" s="244"/>
      <c r="T42" s="244"/>
      <c r="U42" s="244"/>
    </row>
    <row r="43" spans="2:21">
      <c r="B43" s="145" t="str">
        <f t="shared" si="0"/>
        <v/>
      </c>
      <c r="C43" s="496">
        <f>IF(D11="","-",+C42+1)</f>
        <v>2039</v>
      </c>
      <c r="D43" s="509">
        <f>IF(F42+SUM(E$17:E42)=D$10,F42,D$10-SUM(E$17:E42))</f>
        <v>9042477.1943715475</v>
      </c>
      <c r="E43" s="510">
        <f>IF(+I14&lt;F42,I14,D43)</f>
        <v>850418.69823529408</v>
      </c>
      <c r="F43" s="511">
        <f t="shared" si="16"/>
        <v>8192058.4961362537</v>
      </c>
      <c r="G43" s="512">
        <f t="shared" si="17"/>
        <v>1767443.7724212976</v>
      </c>
      <c r="H43" s="478">
        <f t="shared" si="18"/>
        <v>1767443.7724212976</v>
      </c>
      <c r="I43" s="501">
        <f t="shared" si="7"/>
        <v>0</v>
      </c>
      <c r="J43" s="501"/>
      <c r="K43" s="513"/>
      <c r="L43" s="505">
        <f t="shared" si="2"/>
        <v>0</v>
      </c>
      <c r="M43" s="513"/>
      <c r="N43" s="505">
        <f t="shared" si="4"/>
        <v>0</v>
      </c>
      <c r="O43" s="505">
        <f t="shared" si="5"/>
        <v>0</v>
      </c>
      <c r="P43" s="279"/>
      <c r="R43" s="244"/>
      <c r="S43" s="244"/>
      <c r="T43" s="244"/>
      <c r="U43" s="244"/>
    </row>
    <row r="44" spans="2:21">
      <c r="B44" s="145" t="str">
        <f t="shared" si="0"/>
        <v/>
      </c>
      <c r="C44" s="496">
        <f>IF(D11="","-",+C43+1)</f>
        <v>2040</v>
      </c>
      <c r="D44" s="509">
        <f>IF(F43+SUM(E$17:E43)=D$10,F43,D$10-SUM(E$17:E43))</f>
        <v>8192058.4961362537</v>
      </c>
      <c r="E44" s="510">
        <f>IF(+I14&lt;F43,I14,D44)</f>
        <v>850418.69823529408</v>
      </c>
      <c r="F44" s="511">
        <f t="shared" si="16"/>
        <v>7341639.7979009598</v>
      </c>
      <c r="G44" s="512">
        <f t="shared" si="17"/>
        <v>1676944.6393036121</v>
      </c>
      <c r="H44" s="478">
        <f t="shared" si="18"/>
        <v>1676944.6393036121</v>
      </c>
      <c r="I44" s="501">
        <f t="shared" si="7"/>
        <v>0</v>
      </c>
      <c r="J44" s="501"/>
      <c r="K44" s="513"/>
      <c r="L44" s="505">
        <f t="shared" si="2"/>
        <v>0</v>
      </c>
      <c r="M44" s="513"/>
      <c r="N44" s="505">
        <f t="shared" si="4"/>
        <v>0</v>
      </c>
      <c r="O44" s="505">
        <f t="shared" si="5"/>
        <v>0</v>
      </c>
      <c r="P44" s="279"/>
      <c r="R44" s="244"/>
      <c r="S44" s="244"/>
      <c r="T44" s="244"/>
      <c r="U44" s="244"/>
    </row>
    <row r="45" spans="2:21">
      <c r="B45" s="145" t="str">
        <f t="shared" si="0"/>
        <v/>
      </c>
      <c r="C45" s="496">
        <f>IF(D11="","-",+C44+1)</f>
        <v>2041</v>
      </c>
      <c r="D45" s="509">
        <f>IF(F44+SUM(E$17:E44)=D$10,F44,D$10-SUM(E$17:E44))</f>
        <v>7341639.7979009598</v>
      </c>
      <c r="E45" s="510">
        <f>IF(+I14&lt;F44,I14,D45)</f>
        <v>850418.69823529408</v>
      </c>
      <c r="F45" s="511">
        <f t="shared" si="16"/>
        <v>6491221.099665666</v>
      </c>
      <c r="G45" s="512">
        <f t="shared" si="17"/>
        <v>1586445.5061859265</v>
      </c>
      <c r="H45" s="478">
        <f t="shared" si="18"/>
        <v>1586445.5061859265</v>
      </c>
      <c r="I45" s="501">
        <f t="shared" si="7"/>
        <v>0</v>
      </c>
      <c r="J45" s="501"/>
      <c r="K45" s="513"/>
      <c r="L45" s="505">
        <f t="shared" si="2"/>
        <v>0</v>
      </c>
      <c r="M45" s="513"/>
      <c r="N45" s="505">
        <f t="shared" si="4"/>
        <v>0</v>
      </c>
      <c r="O45" s="505">
        <f t="shared" si="5"/>
        <v>0</v>
      </c>
      <c r="P45" s="279"/>
      <c r="R45" s="244"/>
      <c r="S45" s="244"/>
      <c r="T45" s="244"/>
      <c r="U45" s="244"/>
    </row>
    <row r="46" spans="2:21">
      <c r="B46" s="145" t="str">
        <f t="shared" si="0"/>
        <v/>
      </c>
      <c r="C46" s="496">
        <f>IF(D11="","-",+C45+1)</f>
        <v>2042</v>
      </c>
      <c r="D46" s="509">
        <f>IF(F45+SUM(E$17:E45)=D$10,F45,D$10-SUM(E$17:E45))</f>
        <v>6491221.099665666</v>
      </c>
      <c r="E46" s="510">
        <f>IF(+I14&lt;F45,I14,D46)</f>
        <v>850418.69823529408</v>
      </c>
      <c r="F46" s="511">
        <f t="shared" si="16"/>
        <v>5640802.4014303721</v>
      </c>
      <c r="G46" s="512">
        <f t="shared" si="17"/>
        <v>1495946.3730682407</v>
      </c>
      <c r="H46" s="478">
        <f t="shared" si="18"/>
        <v>1495946.3730682407</v>
      </c>
      <c r="I46" s="501">
        <f t="shared" si="7"/>
        <v>0</v>
      </c>
      <c r="J46" s="501"/>
      <c r="K46" s="513"/>
      <c r="L46" s="505">
        <f t="shared" si="2"/>
        <v>0</v>
      </c>
      <c r="M46" s="513"/>
      <c r="N46" s="505">
        <f t="shared" si="4"/>
        <v>0</v>
      </c>
      <c r="O46" s="505">
        <f t="shared" si="5"/>
        <v>0</v>
      </c>
      <c r="P46" s="279"/>
      <c r="R46" s="244"/>
      <c r="S46" s="244"/>
      <c r="T46" s="244"/>
      <c r="U46" s="244"/>
    </row>
    <row r="47" spans="2:21">
      <c r="B47" s="145" t="str">
        <f t="shared" si="0"/>
        <v/>
      </c>
      <c r="C47" s="496">
        <f>IF(D11="","-",+C46+1)</f>
        <v>2043</v>
      </c>
      <c r="D47" s="509">
        <f>IF(F46+SUM(E$17:E46)=D$10,F46,D$10-SUM(E$17:E46))</f>
        <v>5640802.4014303721</v>
      </c>
      <c r="E47" s="510">
        <f>IF(+I14&lt;F46,I14,D47)</f>
        <v>850418.69823529408</v>
      </c>
      <c r="F47" s="511">
        <f t="shared" si="16"/>
        <v>4790383.7031950783</v>
      </c>
      <c r="G47" s="512">
        <f t="shared" si="17"/>
        <v>1405447.2399505549</v>
      </c>
      <c r="H47" s="478">
        <f t="shared" si="18"/>
        <v>1405447.2399505549</v>
      </c>
      <c r="I47" s="501">
        <f t="shared" si="7"/>
        <v>0</v>
      </c>
      <c r="J47" s="501"/>
      <c r="K47" s="513"/>
      <c r="L47" s="505">
        <f t="shared" si="2"/>
        <v>0</v>
      </c>
      <c r="M47" s="513"/>
      <c r="N47" s="505">
        <f t="shared" si="4"/>
        <v>0</v>
      </c>
      <c r="O47" s="505">
        <f t="shared" si="5"/>
        <v>0</v>
      </c>
      <c r="P47" s="279"/>
      <c r="R47" s="244"/>
      <c r="S47" s="244"/>
      <c r="T47" s="244"/>
      <c r="U47" s="244"/>
    </row>
    <row r="48" spans="2:21">
      <c r="B48" s="145" t="str">
        <f t="shared" si="0"/>
        <v/>
      </c>
      <c r="C48" s="496">
        <f>IF(D11="","-",+C47+1)</f>
        <v>2044</v>
      </c>
      <c r="D48" s="509">
        <f>IF(F47+SUM(E$17:E47)=D$10,F47,D$10-SUM(E$17:E47))</f>
        <v>4790383.7031950783</v>
      </c>
      <c r="E48" s="510">
        <f>IF(+I14&lt;F47,I14,D48)</f>
        <v>850418.69823529408</v>
      </c>
      <c r="F48" s="511">
        <f t="shared" si="16"/>
        <v>3939965.0049597844</v>
      </c>
      <c r="G48" s="512">
        <f t="shared" si="17"/>
        <v>1314948.1068328694</v>
      </c>
      <c r="H48" s="478">
        <f t="shared" si="18"/>
        <v>1314948.1068328694</v>
      </c>
      <c r="I48" s="501">
        <f t="shared" si="7"/>
        <v>0</v>
      </c>
      <c r="J48" s="501"/>
      <c r="K48" s="513"/>
      <c r="L48" s="505">
        <f t="shared" si="2"/>
        <v>0</v>
      </c>
      <c r="M48" s="513"/>
      <c r="N48" s="505">
        <f t="shared" si="4"/>
        <v>0</v>
      </c>
      <c r="O48" s="505">
        <f t="shared" si="5"/>
        <v>0</v>
      </c>
      <c r="P48" s="279"/>
      <c r="R48" s="244"/>
      <c r="S48" s="244"/>
      <c r="T48" s="244"/>
      <c r="U48" s="244"/>
    </row>
    <row r="49" spans="2:21">
      <c r="B49" s="145" t="str">
        <f t="shared" si="0"/>
        <v/>
      </c>
      <c r="C49" s="496">
        <f>IF(D11="","-",+C48+1)</f>
        <v>2045</v>
      </c>
      <c r="D49" s="509">
        <f>IF(F48+SUM(E$17:E48)=D$10,F48,D$10-SUM(E$17:E48))</f>
        <v>3939965.0049597844</v>
      </c>
      <c r="E49" s="510">
        <f>IF(+I14&lt;F48,I14,D49)</f>
        <v>850418.69823529408</v>
      </c>
      <c r="F49" s="511">
        <f t="shared" si="16"/>
        <v>3089546.3067244906</v>
      </c>
      <c r="G49" s="512">
        <f t="shared" si="17"/>
        <v>1224448.9737151838</v>
      </c>
      <c r="H49" s="478">
        <f t="shared" si="18"/>
        <v>1224448.9737151838</v>
      </c>
      <c r="I49" s="501">
        <f t="shared" si="7"/>
        <v>0</v>
      </c>
      <c r="J49" s="501"/>
      <c r="K49" s="513"/>
      <c r="L49" s="505">
        <f t="shared" si="2"/>
        <v>0</v>
      </c>
      <c r="M49" s="513"/>
      <c r="N49" s="505">
        <f t="shared" si="4"/>
        <v>0</v>
      </c>
      <c r="O49" s="505">
        <f t="shared" si="5"/>
        <v>0</v>
      </c>
      <c r="P49" s="279"/>
      <c r="R49" s="244"/>
      <c r="S49" s="244"/>
      <c r="T49" s="244"/>
      <c r="U49" s="244"/>
    </row>
    <row r="50" spans="2:21">
      <c r="B50" s="145" t="str">
        <f t="shared" ref="B50:B73" si="19">IF(D50=F49,"","IU")</f>
        <v/>
      </c>
      <c r="C50" s="496">
        <f>IF(D11="","-",+C49+1)</f>
        <v>2046</v>
      </c>
      <c r="D50" s="509">
        <f>IF(F49+SUM(E$17:E49)=D$10,F49,D$10-SUM(E$17:E49))</f>
        <v>3089546.3067244906</v>
      </c>
      <c r="E50" s="510">
        <f>IF(+I14&lt;F49,I14,D50)</f>
        <v>850418.69823529408</v>
      </c>
      <c r="F50" s="511">
        <f t="shared" ref="F50:F73" si="20">+D50-E50</f>
        <v>2239127.6084891967</v>
      </c>
      <c r="G50" s="512">
        <f t="shared" si="17"/>
        <v>1133949.8405974982</v>
      </c>
      <c r="H50" s="478">
        <f t="shared" si="18"/>
        <v>1133949.8405974982</v>
      </c>
      <c r="I50" s="501">
        <f t="shared" ref="I50:I73" si="21">H50-G50</f>
        <v>0</v>
      </c>
      <c r="J50" s="501"/>
      <c r="K50" s="513"/>
      <c r="L50" s="505">
        <f t="shared" ref="L50:L73" si="22">IF(K50&lt;&gt;0,+G50-K50,0)</f>
        <v>0</v>
      </c>
      <c r="M50" s="513"/>
      <c r="N50" s="505">
        <f t="shared" ref="N50:N73" si="23">IF(M50&lt;&gt;0,+H50-M50,0)</f>
        <v>0</v>
      </c>
      <c r="O50" s="505">
        <f t="shared" ref="O50:O73" si="24">+N50-L50</f>
        <v>0</v>
      </c>
      <c r="P50" s="279"/>
      <c r="R50" s="244"/>
      <c r="S50" s="244"/>
      <c r="T50" s="244"/>
      <c r="U50" s="244"/>
    </row>
    <row r="51" spans="2:21">
      <c r="B51" s="145" t="str">
        <f t="shared" si="19"/>
        <v/>
      </c>
      <c r="C51" s="496">
        <f>IF(D11="","-",+C50+1)</f>
        <v>2047</v>
      </c>
      <c r="D51" s="509">
        <f>IF(F50+SUM(E$17:E50)=D$10,F50,D$10-SUM(E$17:E50))</f>
        <v>2239127.6084891967</v>
      </c>
      <c r="E51" s="510">
        <f>IF(+I14&lt;F50,I14,D51)</f>
        <v>850418.69823529408</v>
      </c>
      <c r="F51" s="511">
        <f t="shared" si="20"/>
        <v>1388708.9102539027</v>
      </c>
      <c r="G51" s="512">
        <f t="shared" si="17"/>
        <v>1043450.7074798124</v>
      </c>
      <c r="H51" s="478">
        <f t="shared" si="18"/>
        <v>1043450.7074798124</v>
      </c>
      <c r="I51" s="501">
        <f t="shared" si="21"/>
        <v>0</v>
      </c>
      <c r="J51" s="501"/>
      <c r="K51" s="513"/>
      <c r="L51" s="505">
        <f t="shared" si="22"/>
        <v>0</v>
      </c>
      <c r="M51" s="513"/>
      <c r="N51" s="505">
        <f t="shared" si="23"/>
        <v>0</v>
      </c>
      <c r="O51" s="505">
        <f t="shared" si="24"/>
        <v>0</v>
      </c>
      <c r="P51" s="279"/>
      <c r="R51" s="244"/>
      <c r="S51" s="244"/>
      <c r="T51" s="244"/>
      <c r="U51" s="244"/>
    </row>
    <row r="52" spans="2:21">
      <c r="B52" s="145" t="str">
        <f t="shared" si="19"/>
        <v/>
      </c>
      <c r="C52" s="496">
        <f>IF(D11="","-",+C51+1)</f>
        <v>2048</v>
      </c>
      <c r="D52" s="509">
        <f>IF(F51+SUM(E$17:E51)=D$10,F51,D$10-SUM(E$17:E51))</f>
        <v>1388708.9102539027</v>
      </c>
      <c r="E52" s="510">
        <f>IF(+I14&lt;F51,I14,D52)</f>
        <v>850418.69823529408</v>
      </c>
      <c r="F52" s="511">
        <f t="shared" si="20"/>
        <v>538290.21201860858</v>
      </c>
      <c r="G52" s="512">
        <f t="shared" si="17"/>
        <v>952951.57436212676</v>
      </c>
      <c r="H52" s="478">
        <f t="shared" si="18"/>
        <v>952951.57436212676</v>
      </c>
      <c r="I52" s="501">
        <f t="shared" si="21"/>
        <v>0</v>
      </c>
      <c r="J52" s="501"/>
      <c r="K52" s="513"/>
      <c r="L52" s="505">
        <f t="shared" si="22"/>
        <v>0</v>
      </c>
      <c r="M52" s="513"/>
      <c r="N52" s="505">
        <f t="shared" si="23"/>
        <v>0</v>
      </c>
      <c r="O52" s="505">
        <f t="shared" si="24"/>
        <v>0</v>
      </c>
      <c r="P52" s="279"/>
      <c r="R52" s="244"/>
      <c r="S52" s="244"/>
      <c r="T52" s="244"/>
      <c r="U52" s="244"/>
    </row>
    <row r="53" spans="2:21">
      <c r="B53" s="145" t="str">
        <f t="shared" si="19"/>
        <v/>
      </c>
      <c r="C53" s="496">
        <f>IF(D11="","-",+C52+1)</f>
        <v>2049</v>
      </c>
      <c r="D53" s="471">
        <f>IF(F52+SUM(E$17:E52)=D$10,F52,D$10-SUM(E$17:E52))</f>
        <v>538290.21201860858</v>
      </c>
      <c r="E53" s="510">
        <f>IF(+I14&lt;F52,I14,D53)</f>
        <v>538290.21201860858</v>
      </c>
      <c r="F53" s="511">
        <f t="shared" si="20"/>
        <v>0</v>
      </c>
      <c r="G53" s="512">
        <f t="shared" si="17"/>
        <v>566931.86680260347</v>
      </c>
      <c r="H53" s="478">
        <f t="shared" si="18"/>
        <v>566931.86680260347</v>
      </c>
      <c r="I53" s="501">
        <f t="shared" si="21"/>
        <v>0</v>
      </c>
      <c r="J53" s="501"/>
      <c r="K53" s="513"/>
      <c r="L53" s="505">
        <f t="shared" si="22"/>
        <v>0</v>
      </c>
      <c r="M53" s="513"/>
      <c r="N53" s="505">
        <f t="shared" si="23"/>
        <v>0</v>
      </c>
      <c r="O53" s="505">
        <f t="shared" si="24"/>
        <v>0</v>
      </c>
      <c r="P53" s="279"/>
      <c r="R53" s="244"/>
      <c r="S53" s="244"/>
      <c r="T53" s="244"/>
      <c r="U53" s="244"/>
    </row>
    <row r="54" spans="2:21">
      <c r="B54" s="145" t="str">
        <f t="shared" si="19"/>
        <v/>
      </c>
      <c r="C54" s="496">
        <f>IF(D11="","-",+C53+1)</f>
        <v>2050</v>
      </c>
      <c r="D54" s="509">
        <f>IF(F53+SUM(E$17:E53)=D$10,F53,D$10-SUM(E$17:E53))</f>
        <v>0</v>
      </c>
      <c r="E54" s="510">
        <f>IF(+I14&lt;F53,I14,D54)</f>
        <v>0</v>
      </c>
      <c r="F54" s="511">
        <f t="shared" si="20"/>
        <v>0</v>
      </c>
      <c r="G54" s="512">
        <f t="shared" si="17"/>
        <v>0</v>
      </c>
      <c r="H54" s="478">
        <f t="shared" si="18"/>
        <v>0</v>
      </c>
      <c r="I54" s="501">
        <f t="shared" si="21"/>
        <v>0</v>
      </c>
      <c r="J54" s="501"/>
      <c r="K54" s="513"/>
      <c r="L54" s="505">
        <f t="shared" si="22"/>
        <v>0</v>
      </c>
      <c r="M54" s="513"/>
      <c r="N54" s="505">
        <f t="shared" si="23"/>
        <v>0</v>
      </c>
      <c r="O54" s="505">
        <f t="shared" si="24"/>
        <v>0</v>
      </c>
      <c r="P54" s="279"/>
      <c r="R54" s="244"/>
      <c r="S54" s="244"/>
      <c r="T54" s="244"/>
      <c r="U54" s="244"/>
    </row>
    <row r="55" spans="2:21">
      <c r="B55" s="145" t="str">
        <f t="shared" si="19"/>
        <v/>
      </c>
      <c r="C55" s="496">
        <f>IF(D11="","-",+C54+1)</f>
        <v>2051</v>
      </c>
      <c r="D55" s="509">
        <f>IF(F54+SUM(E$17:E54)=D$10,F54,D$10-SUM(E$17:E54))</f>
        <v>0</v>
      </c>
      <c r="E55" s="510">
        <f>IF(+I14&lt;F54,I14,D55)</f>
        <v>0</v>
      </c>
      <c r="F55" s="511">
        <f t="shared" si="20"/>
        <v>0</v>
      </c>
      <c r="G55" s="512">
        <f t="shared" si="17"/>
        <v>0</v>
      </c>
      <c r="H55" s="478">
        <f t="shared" si="18"/>
        <v>0</v>
      </c>
      <c r="I55" s="501">
        <f t="shared" si="21"/>
        <v>0</v>
      </c>
      <c r="J55" s="501"/>
      <c r="K55" s="513"/>
      <c r="L55" s="505">
        <f t="shared" si="22"/>
        <v>0</v>
      </c>
      <c r="M55" s="513"/>
      <c r="N55" s="505">
        <f t="shared" si="23"/>
        <v>0</v>
      </c>
      <c r="O55" s="505">
        <f t="shared" si="24"/>
        <v>0</v>
      </c>
      <c r="P55" s="279"/>
      <c r="R55" s="244"/>
      <c r="S55" s="244"/>
      <c r="T55" s="244"/>
      <c r="U55" s="244"/>
    </row>
    <row r="56" spans="2:21">
      <c r="B56" s="145" t="str">
        <f t="shared" si="19"/>
        <v/>
      </c>
      <c r="C56" s="496">
        <f>IF(D11="","-",+C55+1)</f>
        <v>2052</v>
      </c>
      <c r="D56" s="509">
        <f>IF(F55+SUM(E$17:E55)=D$10,F55,D$10-SUM(E$17:E55))</f>
        <v>0</v>
      </c>
      <c r="E56" s="510">
        <f>IF(+I14&lt;F55,I14,D56)</f>
        <v>0</v>
      </c>
      <c r="F56" s="511">
        <f t="shared" si="20"/>
        <v>0</v>
      </c>
      <c r="G56" s="512">
        <f t="shared" si="17"/>
        <v>0</v>
      </c>
      <c r="H56" s="478">
        <f t="shared" si="18"/>
        <v>0</v>
      </c>
      <c r="I56" s="501">
        <f t="shared" si="21"/>
        <v>0</v>
      </c>
      <c r="J56" s="501"/>
      <c r="K56" s="513"/>
      <c r="L56" s="505">
        <f t="shared" si="22"/>
        <v>0</v>
      </c>
      <c r="M56" s="513"/>
      <c r="N56" s="505">
        <f t="shared" si="23"/>
        <v>0</v>
      </c>
      <c r="O56" s="505">
        <f t="shared" si="24"/>
        <v>0</v>
      </c>
      <c r="P56" s="279"/>
      <c r="R56" s="244"/>
      <c r="S56" s="244"/>
      <c r="T56" s="244"/>
      <c r="U56" s="244"/>
    </row>
    <row r="57" spans="2:21">
      <c r="B57" s="145" t="str">
        <f t="shared" si="19"/>
        <v/>
      </c>
      <c r="C57" s="496">
        <f>IF(D11="","-",+C56+1)</f>
        <v>2053</v>
      </c>
      <c r="D57" s="509">
        <f>IF(F56+SUM(E$17:E56)=D$10,F56,D$10-SUM(E$17:E56))</f>
        <v>0</v>
      </c>
      <c r="E57" s="510">
        <f>IF(+I14&lt;F56,I14,D57)</f>
        <v>0</v>
      </c>
      <c r="F57" s="511">
        <f t="shared" si="20"/>
        <v>0</v>
      </c>
      <c r="G57" s="512">
        <f t="shared" si="17"/>
        <v>0</v>
      </c>
      <c r="H57" s="478">
        <f t="shared" si="18"/>
        <v>0</v>
      </c>
      <c r="I57" s="501">
        <f t="shared" si="21"/>
        <v>0</v>
      </c>
      <c r="J57" s="501"/>
      <c r="K57" s="513"/>
      <c r="L57" s="505">
        <f t="shared" si="22"/>
        <v>0</v>
      </c>
      <c r="M57" s="513"/>
      <c r="N57" s="505">
        <f t="shared" si="23"/>
        <v>0</v>
      </c>
      <c r="O57" s="505">
        <f t="shared" si="24"/>
        <v>0</v>
      </c>
      <c r="P57" s="279"/>
      <c r="R57" s="244"/>
      <c r="S57" s="244"/>
      <c r="T57" s="244"/>
      <c r="U57" s="244"/>
    </row>
    <row r="58" spans="2:21">
      <c r="B58" s="145" t="str">
        <f t="shared" si="19"/>
        <v/>
      </c>
      <c r="C58" s="496">
        <f>IF(D11="","-",+C57+1)</f>
        <v>2054</v>
      </c>
      <c r="D58" s="509">
        <f>IF(F57+SUM(E$17:E57)=D$10,F57,D$10-SUM(E$17:E57))</f>
        <v>0</v>
      </c>
      <c r="E58" s="510">
        <f>IF(+I14&lt;F57,I14,D58)</f>
        <v>0</v>
      </c>
      <c r="F58" s="511">
        <f t="shared" si="20"/>
        <v>0</v>
      </c>
      <c r="G58" s="512">
        <f t="shared" si="17"/>
        <v>0</v>
      </c>
      <c r="H58" s="478">
        <f t="shared" si="18"/>
        <v>0</v>
      </c>
      <c r="I58" s="501">
        <f t="shared" si="21"/>
        <v>0</v>
      </c>
      <c r="J58" s="501"/>
      <c r="K58" s="513"/>
      <c r="L58" s="505">
        <f t="shared" si="22"/>
        <v>0</v>
      </c>
      <c r="M58" s="513"/>
      <c r="N58" s="505">
        <f t="shared" si="23"/>
        <v>0</v>
      </c>
      <c r="O58" s="505">
        <f t="shared" si="24"/>
        <v>0</v>
      </c>
      <c r="P58" s="279"/>
      <c r="R58" s="244"/>
      <c r="S58" s="244"/>
      <c r="T58" s="244"/>
      <c r="U58" s="244"/>
    </row>
    <row r="59" spans="2:21">
      <c r="B59" s="145" t="str">
        <f t="shared" si="19"/>
        <v/>
      </c>
      <c r="C59" s="496">
        <f>IF(D11="","-",+C58+1)</f>
        <v>2055</v>
      </c>
      <c r="D59" s="509">
        <f>IF(F58+SUM(E$17:E58)=D$10,F58,D$10-SUM(E$17:E58))</f>
        <v>0</v>
      </c>
      <c r="E59" s="510">
        <f>IF(+I14&lt;F58,I14,D59)</f>
        <v>0</v>
      </c>
      <c r="F59" s="511">
        <f t="shared" si="20"/>
        <v>0</v>
      </c>
      <c r="G59" s="512">
        <f t="shared" si="17"/>
        <v>0</v>
      </c>
      <c r="H59" s="478">
        <f t="shared" si="18"/>
        <v>0</v>
      </c>
      <c r="I59" s="501">
        <f t="shared" si="21"/>
        <v>0</v>
      </c>
      <c r="J59" s="501"/>
      <c r="K59" s="513"/>
      <c r="L59" s="505">
        <f t="shared" si="22"/>
        <v>0</v>
      </c>
      <c r="M59" s="513"/>
      <c r="N59" s="505">
        <f t="shared" si="23"/>
        <v>0</v>
      </c>
      <c r="O59" s="505">
        <f t="shared" si="24"/>
        <v>0</v>
      </c>
      <c r="P59" s="279"/>
      <c r="R59" s="244"/>
      <c r="S59" s="244"/>
      <c r="T59" s="244"/>
      <c r="U59" s="244"/>
    </row>
    <row r="60" spans="2:21">
      <c r="B60" s="145" t="str">
        <f t="shared" si="19"/>
        <v/>
      </c>
      <c r="C60" s="496">
        <f>IF(D11="","-",+C59+1)</f>
        <v>2056</v>
      </c>
      <c r="D60" s="509">
        <f>IF(F59+SUM(E$17:E59)=D$10,F59,D$10-SUM(E$17:E59))</f>
        <v>0</v>
      </c>
      <c r="E60" s="510">
        <f>IF(+I14&lt;F59,I14,D60)</f>
        <v>0</v>
      </c>
      <c r="F60" s="511">
        <f t="shared" si="20"/>
        <v>0</v>
      </c>
      <c r="G60" s="512">
        <f t="shared" si="17"/>
        <v>0</v>
      </c>
      <c r="H60" s="478">
        <f t="shared" si="18"/>
        <v>0</v>
      </c>
      <c r="I60" s="501">
        <f t="shared" si="21"/>
        <v>0</v>
      </c>
      <c r="J60" s="501"/>
      <c r="K60" s="513"/>
      <c r="L60" s="505">
        <f t="shared" si="22"/>
        <v>0</v>
      </c>
      <c r="M60" s="513"/>
      <c r="N60" s="505">
        <f t="shared" si="23"/>
        <v>0</v>
      </c>
      <c r="O60" s="505">
        <f t="shared" si="24"/>
        <v>0</v>
      </c>
      <c r="P60" s="279"/>
      <c r="R60" s="244"/>
      <c r="S60" s="244"/>
      <c r="T60" s="244"/>
      <c r="U60" s="244"/>
    </row>
    <row r="61" spans="2:21">
      <c r="B61" s="145" t="str">
        <f t="shared" si="19"/>
        <v/>
      </c>
      <c r="C61" s="496">
        <f>IF(D11="","-",+C60+1)</f>
        <v>2057</v>
      </c>
      <c r="D61" s="509">
        <f>IF(F60+SUM(E$17:E60)=D$10,F60,D$10-SUM(E$17:E60))</f>
        <v>0</v>
      </c>
      <c r="E61" s="510">
        <f>IF(+I14&lt;F60,I14,D61)</f>
        <v>0</v>
      </c>
      <c r="F61" s="511">
        <f t="shared" si="20"/>
        <v>0</v>
      </c>
      <c r="G61" s="512">
        <f t="shared" si="17"/>
        <v>0</v>
      </c>
      <c r="H61" s="478">
        <f t="shared" si="18"/>
        <v>0</v>
      </c>
      <c r="I61" s="501">
        <f t="shared" si="21"/>
        <v>0</v>
      </c>
      <c r="J61" s="501"/>
      <c r="K61" s="513"/>
      <c r="L61" s="505">
        <f t="shared" si="22"/>
        <v>0</v>
      </c>
      <c r="M61" s="513"/>
      <c r="N61" s="505">
        <f t="shared" si="23"/>
        <v>0</v>
      </c>
      <c r="O61" s="505">
        <f t="shared" si="24"/>
        <v>0</v>
      </c>
      <c r="P61" s="279"/>
      <c r="R61" s="244"/>
      <c r="S61" s="244"/>
      <c r="T61" s="244"/>
      <c r="U61" s="244"/>
    </row>
    <row r="62" spans="2:21">
      <c r="B62" s="145" t="str">
        <f t="shared" si="19"/>
        <v/>
      </c>
      <c r="C62" s="496">
        <f>IF(D11="","-",+C61+1)</f>
        <v>2058</v>
      </c>
      <c r="D62" s="509">
        <f>IF(F61+SUM(E$17:E61)=D$10,F61,D$10-SUM(E$17:E61))</f>
        <v>0</v>
      </c>
      <c r="E62" s="510">
        <f>IF(+I14&lt;F61,I14,D62)</f>
        <v>0</v>
      </c>
      <c r="F62" s="511">
        <f t="shared" si="20"/>
        <v>0</v>
      </c>
      <c r="G62" s="524">
        <f t="shared" si="17"/>
        <v>0</v>
      </c>
      <c r="H62" s="478">
        <f t="shared" si="18"/>
        <v>0</v>
      </c>
      <c r="I62" s="501">
        <f t="shared" si="21"/>
        <v>0</v>
      </c>
      <c r="J62" s="501"/>
      <c r="K62" s="513"/>
      <c r="L62" s="505">
        <f t="shared" si="22"/>
        <v>0</v>
      </c>
      <c r="M62" s="513"/>
      <c r="N62" s="505">
        <f t="shared" si="23"/>
        <v>0</v>
      </c>
      <c r="O62" s="505">
        <f t="shared" si="24"/>
        <v>0</v>
      </c>
      <c r="P62" s="279"/>
      <c r="R62" s="244"/>
      <c r="S62" s="244"/>
      <c r="T62" s="244"/>
      <c r="U62" s="244"/>
    </row>
    <row r="63" spans="2:21">
      <c r="B63" s="145" t="str">
        <f t="shared" si="19"/>
        <v/>
      </c>
      <c r="C63" s="496">
        <f>IF(D11="","-",+C62+1)</f>
        <v>2059</v>
      </c>
      <c r="D63" s="509">
        <f>IF(F62+SUM(E$17:E62)=D$10,F62,D$10-SUM(E$17:E62))</f>
        <v>0</v>
      </c>
      <c r="E63" s="510">
        <f>IF(+I14&lt;F62,I14,D63)</f>
        <v>0</v>
      </c>
      <c r="F63" s="511">
        <f t="shared" si="20"/>
        <v>0</v>
      </c>
      <c r="G63" s="524">
        <f t="shared" si="17"/>
        <v>0</v>
      </c>
      <c r="H63" s="478">
        <f t="shared" si="18"/>
        <v>0</v>
      </c>
      <c r="I63" s="501">
        <f t="shared" si="21"/>
        <v>0</v>
      </c>
      <c r="J63" s="501"/>
      <c r="K63" s="513"/>
      <c r="L63" s="505">
        <f t="shared" si="22"/>
        <v>0</v>
      </c>
      <c r="M63" s="513"/>
      <c r="N63" s="505">
        <f t="shared" si="23"/>
        <v>0</v>
      </c>
      <c r="O63" s="505">
        <f t="shared" si="24"/>
        <v>0</v>
      </c>
      <c r="P63" s="279"/>
      <c r="R63" s="244"/>
      <c r="S63" s="244"/>
      <c r="T63" s="244"/>
      <c r="U63" s="244"/>
    </row>
    <row r="64" spans="2:21">
      <c r="B64" s="145" t="str">
        <f t="shared" si="19"/>
        <v/>
      </c>
      <c r="C64" s="496">
        <f>IF(D11="","-",+C63+1)</f>
        <v>2060</v>
      </c>
      <c r="D64" s="509">
        <f>IF(F63+SUM(E$17:E63)=D$10,F63,D$10-SUM(E$17:E63))</f>
        <v>0</v>
      </c>
      <c r="E64" s="510">
        <f>IF(+I14&lt;F63,I14,D64)</f>
        <v>0</v>
      </c>
      <c r="F64" s="511">
        <f t="shared" si="20"/>
        <v>0</v>
      </c>
      <c r="G64" s="524">
        <f t="shared" si="17"/>
        <v>0</v>
      </c>
      <c r="H64" s="478">
        <f t="shared" si="18"/>
        <v>0</v>
      </c>
      <c r="I64" s="501">
        <f t="shared" si="21"/>
        <v>0</v>
      </c>
      <c r="J64" s="501"/>
      <c r="K64" s="513"/>
      <c r="L64" s="505">
        <f t="shared" si="22"/>
        <v>0</v>
      </c>
      <c r="M64" s="513"/>
      <c r="N64" s="505">
        <f t="shared" si="23"/>
        <v>0</v>
      </c>
      <c r="O64" s="505">
        <f t="shared" si="24"/>
        <v>0</v>
      </c>
      <c r="P64" s="279"/>
      <c r="R64" s="244"/>
      <c r="S64" s="244"/>
      <c r="T64" s="244"/>
      <c r="U64" s="244"/>
    </row>
    <row r="65" spans="2:21">
      <c r="B65" s="145" t="str">
        <f t="shared" si="19"/>
        <v/>
      </c>
      <c r="C65" s="496">
        <f>IF(D11="","-",+C64+1)</f>
        <v>2061</v>
      </c>
      <c r="D65" s="509">
        <f>IF(F64+SUM(E$17:E64)=D$10,F64,D$10-SUM(E$17:E64))</f>
        <v>0</v>
      </c>
      <c r="E65" s="510">
        <f>IF(+I14&lt;F64,I14,D65)</f>
        <v>0</v>
      </c>
      <c r="F65" s="511">
        <f t="shared" si="20"/>
        <v>0</v>
      </c>
      <c r="G65" s="524">
        <f t="shared" si="17"/>
        <v>0</v>
      </c>
      <c r="H65" s="478">
        <f t="shared" si="18"/>
        <v>0</v>
      </c>
      <c r="I65" s="501">
        <f t="shared" si="21"/>
        <v>0</v>
      </c>
      <c r="J65" s="501"/>
      <c r="K65" s="513"/>
      <c r="L65" s="505">
        <f t="shared" si="22"/>
        <v>0</v>
      </c>
      <c r="M65" s="513"/>
      <c r="N65" s="505">
        <f t="shared" si="23"/>
        <v>0</v>
      </c>
      <c r="O65" s="505">
        <f t="shared" si="24"/>
        <v>0</v>
      </c>
      <c r="P65" s="279"/>
      <c r="R65" s="244"/>
      <c r="S65" s="244"/>
      <c r="T65" s="244"/>
      <c r="U65" s="244"/>
    </row>
    <row r="66" spans="2:21">
      <c r="B66" s="145" t="str">
        <f t="shared" si="19"/>
        <v/>
      </c>
      <c r="C66" s="496">
        <f>IF(D11="","-",+C65+1)</f>
        <v>2062</v>
      </c>
      <c r="D66" s="509">
        <f>IF(F65+SUM(E$17:E65)=D$10,F65,D$10-SUM(E$17:E65))</f>
        <v>0</v>
      </c>
      <c r="E66" s="510">
        <f>IF(+I14&lt;F65,I14,D66)</f>
        <v>0</v>
      </c>
      <c r="F66" s="511">
        <f t="shared" si="20"/>
        <v>0</v>
      </c>
      <c r="G66" s="524">
        <f t="shared" si="17"/>
        <v>0</v>
      </c>
      <c r="H66" s="478">
        <f t="shared" si="18"/>
        <v>0</v>
      </c>
      <c r="I66" s="501">
        <f t="shared" si="21"/>
        <v>0</v>
      </c>
      <c r="J66" s="501"/>
      <c r="K66" s="513"/>
      <c r="L66" s="505">
        <f t="shared" si="22"/>
        <v>0</v>
      </c>
      <c r="M66" s="513"/>
      <c r="N66" s="505">
        <f t="shared" si="23"/>
        <v>0</v>
      </c>
      <c r="O66" s="505">
        <f t="shared" si="24"/>
        <v>0</v>
      </c>
      <c r="P66" s="279"/>
      <c r="R66" s="244"/>
      <c r="S66" s="244"/>
      <c r="T66" s="244"/>
      <c r="U66" s="244"/>
    </row>
    <row r="67" spans="2:21">
      <c r="B67" s="145" t="str">
        <f t="shared" si="19"/>
        <v/>
      </c>
      <c r="C67" s="496">
        <f>IF(D11="","-",+C66+1)</f>
        <v>2063</v>
      </c>
      <c r="D67" s="509">
        <f>IF(F66+SUM(E$17:E66)=D$10,F66,D$10-SUM(E$17:E66))</f>
        <v>0</v>
      </c>
      <c r="E67" s="510">
        <f>IF(+I14&lt;F66,I14,D67)</f>
        <v>0</v>
      </c>
      <c r="F67" s="511">
        <f t="shared" si="20"/>
        <v>0</v>
      </c>
      <c r="G67" s="524">
        <f t="shared" si="17"/>
        <v>0</v>
      </c>
      <c r="H67" s="478">
        <f t="shared" si="18"/>
        <v>0</v>
      </c>
      <c r="I67" s="501">
        <f t="shared" si="21"/>
        <v>0</v>
      </c>
      <c r="J67" s="501"/>
      <c r="K67" s="513"/>
      <c r="L67" s="505">
        <f t="shared" si="22"/>
        <v>0</v>
      </c>
      <c r="M67" s="513"/>
      <c r="N67" s="505">
        <f t="shared" si="23"/>
        <v>0</v>
      </c>
      <c r="O67" s="505">
        <f t="shared" si="24"/>
        <v>0</v>
      </c>
      <c r="P67" s="279"/>
      <c r="R67" s="244"/>
      <c r="S67" s="244"/>
      <c r="T67" s="244"/>
      <c r="U67" s="244"/>
    </row>
    <row r="68" spans="2:21">
      <c r="B68" s="145" t="str">
        <f t="shared" si="19"/>
        <v/>
      </c>
      <c r="C68" s="496">
        <f>IF(D11="","-",+C67+1)</f>
        <v>2064</v>
      </c>
      <c r="D68" s="509">
        <f>IF(F67+SUM(E$17:E67)=D$10,F67,D$10-SUM(E$17:E67))</f>
        <v>0</v>
      </c>
      <c r="E68" s="510">
        <f>IF(+I14&lt;F67,I14,D68)</f>
        <v>0</v>
      </c>
      <c r="F68" s="511">
        <f t="shared" si="20"/>
        <v>0</v>
      </c>
      <c r="G68" s="524">
        <f t="shared" si="17"/>
        <v>0</v>
      </c>
      <c r="H68" s="478">
        <f t="shared" si="18"/>
        <v>0</v>
      </c>
      <c r="I68" s="501">
        <f t="shared" si="21"/>
        <v>0</v>
      </c>
      <c r="J68" s="501"/>
      <c r="K68" s="513"/>
      <c r="L68" s="505">
        <f t="shared" si="22"/>
        <v>0</v>
      </c>
      <c r="M68" s="513"/>
      <c r="N68" s="505">
        <f t="shared" si="23"/>
        <v>0</v>
      </c>
      <c r="O68" s="505">
        <f t="shared" si="24"/>
        <v>0</v>
      </c>
      <c r="P68" s="279"/>
      <c r="R68" s="244"/>
      <c r="S68" s="244"/>
      <c r="T68" s="244"/>
      <c r="U68" s="244"/>
    </row>
    <row r="69" spans="2:21">
      <c r="B69" s="145" t="str">
        <f t="shared" si="19"/>
        <v/>
      </c>
      <c r="C69" s="496">
        <f>IF(D11="","-",+C68+1)</f>
        <v>2065</v>
      </c>
      <c r="D69" s="509">
        <f>IF(F68+SUM(E$17:E68)=D$10,F68,D$10-SUM(E$17:E68))</f>
        <v>0</v>
      </c>
      <c r="E69" s="510">
        <f>IF(+I14&lt;F68,I14,D69)</f>
        <v>0</v>
      </c>
      <c r="F69" s="511">
        <f t="shared" si="20"/>
        <v>0</v>
      </c>
      <c r="G69" s="524">
        <f t="shared" si="17"/>
        <v>0</v>
      </c>
      <c r="H69" s="478">
        <f t="shared" si="18"/>
        <v>0</v>
      </c>
      <c r="I69" s="501">
        <f t="shared" si="21"/>
        <v>0</v>
      </c>
      <c r="J69" s="501"/>
      <c r="K69" s="513"/>
      <c r="L69" s="505">
        <f t="shared" si="22"/>
        <v>0</v>
      </c>
      <c r="M69" s="513"/>
      <c r="N69" s="505">
        <f t="shared" si="23"/>
        <v>0</v>
      </c>
      <c r="O69" s="505">
        <f t="shared" si="24"/>
        <v>0</v>
      </c>
      <c r="P69" s="279"/>
      <c r="R69" s="244"/>
      <c r="S69" s="244"/>
      <c r="T69" s="244"/>
      <c r="U69" s="244"/>
    </row>
    <row r="70" spans="2:21">
      <c r="B70" s="145" t="str">
        <f t="shared" si="19"/>
        <v/>
      </c>
      <c r="C70" s="496">
        <f>IF(D11="","-",+C69+1)</f>
        <v>2066</v>
      </c>
      <c r="D70" s="509">
        <f>IF(F69+SUM(E$17:E69)=D$10,F69,D$10-SUM(E$17:E69))</f>
        <v>0</v>
      </c>
      <c r="E70" s="510">
        <f>IF(+I14&lt;F69,I14,D70)</f>
        <v>0</v>
      </c>
      <c r="F70" s="511">
        <f t="shared" si="20"/>
        <v>0</v>
      </c>
      <c r="G70" s="524">
        <f t="shared" si="17"/>
        <v>0</v>
      </c>
      <c r="H70" s="478">
        <f t="shared" si="18"/>
        <v>0</v>
      </c>
      <c r="I70" s="501">
        <f t="shared" si="21"/>
        <v>0</v>
      </c>
      <c r="J70" s="501"/>
      <c r="K70" s="513"/>
      <c r="L70" s="505">
        <f t="shared" si="22"/>
        <v>0</v>
      </c>
      <c r="M70" s="513"/>
      <c r="N70" s="505">
        <f t="shared" si="23"/>
        <v>0</v>
      </c>
      <c r="O70" s="505">
        <f t="shared" si="24"/>
        <v>0</v>
      </c>
      <c r="P70" s="279"/>
      <c r="R70" s="244"/>
      <c r="S70" s="244"/>
      <c r="T70" s="244"/>
      <c r="U70" s="244"/>
    </row>
    <row r="71" spans="2:21">
      <c r="B71" s="145" t="str">
        <f t="shared" si="19"/>
        <v/>
      </c>
      <c r="C71" s="496">
        <f>IF(D11="","-",+C70+1)</f>
        <v>2067</v>
      </c>
      <c r="D71" s="509">
        <f>IF(F70+SUM(E$17:E70)=D$10,F70,D$10-SUM(E$17:E70))</f>
        <v>0</v>
      </c>
      <c r="E71" s="510">
        <f>IF(+I14&lt;F70,I14,D71)</f>
        <v>0</v>
      </c>
      <c r="F71" s="511">
        <f t="shared" si="20"/>
        <v>0</v>
      </c>
      <c r="G71" s="524">
        <f t="shared" si="17"/>
        <v>0</v>
      </c>
      <c r="H71" s="478">
        <f t="shared" si="18"/>
        <v>0</v>
      </c>
      <c r="I71" s="501">
        <f t="shared" si="21"/>
        <v>0</v>
      </c>
      <c r="J71" s="501"/>
      <c r="K71" s="513"/>
      <c r="L71" s="505">
        <f t="shared" si="22"/>
        <v>0</v>
      </c>
      <c r="M71" s="513"/>
      <c r="N71" s="505">
        <f t="shared" si="23"/>
        <v>0</v>
      </c>
      <c r="O71" s="505">
        <f t="shared" si="24"/>
        <v>0</v>
      </c>
      <c r="P71" s="279"/>
      <c r="R71" s="244"/>
      <c r="S71" s="244"/>
      <c r="T71" s="244"/>
      <c r="U71" s="244"/>
    </row>
    <row r="72" spans="2:21">
      <c r="B72" s="145" t="str">
        <f t="shared" si="19"/>
        <v/>
      </c>
      <c r="C72" s="496">
        <f>IF(D11="","-",+C71+1)</f>
        <v>2068</v>
      </c>
      <c r="D72" s="509">
        <f>IF(F71+SUM(E$17:E71)=D$10,F71,D$10-SUM(E$17:E71))</f>
        <v>0</v>
      </c>
      <c r="E72" s="510">
        <f>IF(+I14&lt;F71,I14,D72)</f>
        <v>0</v>
      </c>
      <c r="F72" s="511">
        <f t="shared" si="20"/>
        <v>0</v>
      </c>
      <c r="G72" s="524">
        <f t="shared" si="17"/>
        <v>0</v>
      </c>
      <c r="H72" s="478">
        <f t="shared" si="18"/>
        <v>0</v>
      </c>
      <c r="I72" s="501">
        <f t="shared" si="21"/>
        <v>0</v>
      </c>
      <c r="J72" s="501"/>
      <c r="K72" s="513"/>
      <c r="L72" s="505">
        <f t="shared" si="22"/>
        <v>0</v>
      </c>
      <c r="M72" s="513"/>
      <c r="N72" s="505">
        <f t="shared" si="23"/>
        <v>0</v>
      </c>
      <c r="O72" s="505">
        <f t="shared" si="24"/>
        <v>0</v>
      </c>
      <c r="P72" s="279"/>
      <c r="R72" s="244"/>
      <c r="S72" s="244"/>
      <c r="T72" s="244"/>
      <c r="U72" s="244"/>
    </row>
    <row r="73" spans="2:21" ht="13.5" thickBot="1">
      <c r="B73" s="145" t="str">
        <f t="shared" si="19"/>
        <v/>
      </c>
      <c r="C73" s="525">
        <f>IF(D11="","-",+C72+1)</f>
        <v>2069</v>
      </c>
      <c r="D73" s="526">
        <f>IF(F72+SUM(E$17:E72)=D$10,F72,D$10-SUM(E$17:E72))</f>
        <v>0</v>
      </c>
      <c r="E73" s="527">
        <f>IF(+I14&lt;F72,I14,D73)</f>
        <v>0</v>
      </c>
      <c r="F73" s="528">
        <f t="shared" si="20"/>
        <v>0</v>
      </c>
      <c r="G73" s="529">
        <f t="shared" si="17"/>
        <v>0</v>
      </c>
      <c r="H73" s="459">
        <f t="shared" si="18"/>
        <v>0</v>
      </c>
      <c r="I73" s="530">
        <f t="shared" si="21"/>
        <v>0</v>
      </c>
      <c r="J73" s="501"/>
      <c r="K73" s="531"/>
      <c r="L73" s="532">
        <f t="shared" si="22"/>
        <v>0</v>
      </c>
      <c r="M73" s="531"/>
      <c r="N73" s="532">
        <f t="shared" si="23"/>
        <v>0</v>
      </c>
      <c r="O73" s="532">
        <f t="shared" si="24"/>
        <v>0</v>
      </c>
      <c r="P73" s="279"/>
      <c r="R73" s="244"/>
      <c r="S73" s="244"/>
      <c r="T73" s="244"/>
      <c r="U73" s="244"/>
    </row>
    <row r="74" spans="2:21">
      <c r="C74" s="350" t="s">
        <v>75</v>
      </c>
      <c r="D74" s="295"/>
      <c r="E74" s="295">
        <f>SUM(E17:E73)</f>
        <v>28914235.74000001</v>
      </c>
      <c r="F74" s="295"/>
      <c r="G74" s="295">
        <f>SUM(G17:G73)</f>
        <v>87411946.734549791</v>
      </c>
      <c r="H74" s="295">
        <f>SUM(H17:H73)</f>
        <v>87411946.734549791</v>
      </c>
      <c r="I74" s="295">
        <f>SUM(I17:I73)</f>
        <v>0</v>
      </c>
      <c r="J74" s="295"/>
      <c r="K74" s="295"/>
      <c r="L74" s="295"/>
      <c r="M74" s="295"/>
      <c r="N74" s="295"/>
      <c r="O74" s="279"/>
      <c r="P74" s="279"/>
      <c r="R74" s="244"/>
      <c r="S74" s="244"/>
      <c r="T74" s="244"/>
      <c r="U74" s="244"/>
    </row>
    <row r="75" spans="2:21">
      <c r="D75" s="293"/>
      <c r="E75" s="244"/>
      <c r="F75" s="244"/>
      <c r="G75" s="244"/>
      <c r="H75" s="326"/>
      <c r="I75" s="326"/>
      <c r="J75" s="295"/>
      <c r="K75" s="326"/>
      <c r="L75" s="326"/>
      <c r="M75" s="326"/>
      <c r="N75" s="326"/>
      <c r="O75" s="244"/>
      <c r="P75" s="244"/>
      <c r="R75" s="244"/>
      <c r="S75" s="244"/>
      <c r="T75" s="244"/>
      <c r="U75" s="244"/>
    </row>
    <row r="76" spans="2:21">
      <c r="C76" s="533" t="s">
        <v>95</v>
      </c>
      <c r="D76" s="293"/>
      <c r="E76" s="244"/>
      <c r="F76" s="244"/>
      <c r="G76" s="244"/>
      <c r="H76" s="326"/>
      <c r="I76" s="326"/>
      <c r="J76" s="295"/>
      <c r="K76" s="326"/>
      <c r="L76" s="326"/>
      <c r="M76" s="326"/>
      <c r="N76" s="326"/>
      <c r="O76" s="244"/>
      <c r="P76" s="244"/>
      <c r="R76" s="244"/>
      <c r="S76" s="244"/>
      <c r="T76" s="244"/>
      <c r="U76" s="244"/>
    </row>
    <row r="77" spans="2:21">
      <c r="C77" s="455" t="s">
        <v>76</v>
      </c>
      <c r="D77" s="293"/>
      <c r="E77" s="244"/>
      <c r="F77" s="244"/>
      <c r="G77" s="244"/>
      <c r="H77" s="326"/>
      <c r="I77" s="326"/>
      <c r="J77" s="295"/>
      <c r="K77" s="326"/>
      <c r="L77" s="326"/>
      <c r="M77" s="326"/>
      <c r="N77" s="326"/>
      <c r="O77" s="279"/>
      <c r="P77" s="279"/>
      <c r="R77" s="244"/>
      <c r="S77" s="244"/>
      <c r="T77" s="244"/>
      <c r="U77" s="244"/>
    </row>
    <row r="78" spans="2:21">
      <c r="C78" s="455" t="s">
        <v>77</v>
      </c>
      <c r="D78" s="350"/>
      <c r="E78" s="350"/>
      <c r="F78" s="350"/>
      <c r="G78" s="295"/>
      <c r="H78" s="295"/>
      <c r="I78" s="351"/>
      <c r="J78" s="351"/>
      <c r="K78" s="351"/>
      <c r="L78" s="351"/>
      <c r="M78" s="351"/>
      <c r="N78" s="351"/>
      <c r="O78" s="279"/>
      <c r="P78" s="279"/>
      <c r="R78" s="244"/>
      <c r="S78" s="244"/>
      <c r="T78" s="244"/>
      <c r="U78" s="244"/>
    </row>
    <row r="79" spans="2:21">
      <c r="C79" s="455"/>
      <c r="D79" s="350"/>
      <c r="E79" s="350"/>
      <c r="F79" s="350"/>
      <c r="G79" s="295"/>
      <c r="H79" s="295"/>
      <c r="I79" s="351"/>
      <c r="J79" s="351"/>
      <c r="K79" s="351"/>
      <c r="L79" s="351"/>
      <c r="M79" s="351"/>
      <c r="N79" s="351"/>
      <c r="O79" s="279"/>
      <c r="P79" s="244"/>
      <c r="R79" s="244"/>
      <c r="S79" s="244"/>
      <c r="T79" s="244"/>
      <c r="U79" s="244"/>
    </row>
    <row r="80" spans="2:21">
      <c r="B80" s="244"/>
      <c r="C80" s="249"/>
      <c r="D80" s="293"/>
      <c r="E80" s="244"/>
      <c r="F80" s="348"/>
      <c r="G80" s="244"/>
      <c r="H80" s="326"/>
      <c r="I80" s="244"/>
      <c r="J80" s="279"/>
      <c r="K80" s="244"/>
      <c r="L80" s="244"/>
      <c r="M80" s="244"/>
      <c r="N80" s="244"/>
      <c r="O80" s="244"/>
      <c r="P80" s="244"/>
      <c r="R80" s="244"/>
      <c r="S80" s="244"/>
      <c r="T80" s="244"/>
      <c r="U80" s="244"/>
    </row>
    <row r="81" spans="1:21" ht="18">
      <c r="B81" s="244"/>
      <c r="C81" s="536"/>
      <c r="D81" s="293"/>
      <c r="E81" s="244"/>
      <c r="F81" s="348"/>
      <c r="G81" s="244"/>
      <c r="H81" s="326"/>
      <c r="I81" s="244"/>
      <c r="J81" s="279"/>
      <c r="K81" s="244"/>
      <c r="L81" s="244"/>
      <c r="M81" s="244"/>
      <c r="N81" s="244"/>
      <c r="P81" s="537" t="s">
        <v>128</v>
      </c>
      <c r="R81" s="244"/>
      <c r="S81" s="244"/>
      <c r="T81" s="244"/>
      <c r="U81" s="244"/>
    </row>
    <row r="82" spans="1:21">
      <c r="B82" s="244"/>
      <c r="C82" s="249"/>
      <c r="D82" s="293"/>
      <c r="E82" s="244"/>
      <c r="F82" s="348"/>
      <c r="G82" s="244"/>
      <c r="H82" s="326"/>
      <c r="I82" s="244"/>
      <c r="J82" s="279"/>
      <c r="K82" s="244"/>
      <c r="L82" s="244"/>
      <c r="M82" s="244"/>
      <c r="N82" s="244"/>
      <c r="O82" s="244"/>
      <c r="P82" s="244"/>
      <c r="R82" s="244"/>
      <c r="S82" s="244"/>
      <c r="T82" s="244"/>
      <c r="U82" s="244"/>
    </row>
    <row r="83" spans="1:21">
      <c r="B83" s="244"/>
      <c r="C83" s="249"/>
      <c r="D83" s="293"/>
      <c r="E83" s="244"/>
      <c r="F83" s="348"/>
      <c r="G83" s="244"/>
      <c r="H83" s="326"/>
      <c r="I83" s="244"/>
      <c r="J83" s="279"/>
      <c r="K83" s="244"/>
      <c r="L83" s="244"/>
      <c r="M83" s="244"/>
      <c r="N83" s="244"/>
      <c r="O83" s="244"/>
      <c r="P83" s="244"/>
      <c r="Q83" s="244"/>
      <c r="R83" s="244"/>
      <c r="S83" s="244"/>
      <c r="T83" s="244"/>
      <c r="U83" s="244"/>
    </row>
    <row r="84" spans="1:21" ht="20.25">
      <c r="A84" s="438" t="s">
        <v>190</v>
      </c>
      <c r="B84" s="244"/>
      <c r="C84" s="249"/>
      <c r="D84" s="293"/>
      <c r="E84" s="244"/>
      <c r="F84" s="340"/>
      <c r="G84" s="340"/>
      <c r="H84" s="244"/>
      <c r="I84" s="326"/>
      <c r="K84" s="221"/>
      <c r="L84" s="439"/>
      <c r="M84" s="439"/>
      <c r="P84" s="534" t="str">
        <f ca="1">P1</f>
        <v>OKT Project 6 of 20</v>
      </c>
      <c r="Q84" s="244"/>
      <c r="R84" s="244"/>
      <c r="S84" s="244"/>
      <c r="T84" s="244"/>
      <c r="U84" s="244"/>
    </row>
    <row r="85" spans="1:21" ht="18">
      <c r="B85" s="244"/>
      <c r="C85" s="244"/>
      <c r="D85" s="293"/>
      <c r="E85" s="244"/>
      <c r="F85" s="244"/>
      <c r="G85" s="244"/>
      <c r="H85" s="244"/>
      <c r="I85" s="326"/>
      <c r="J85" s="244"/>
      <c r="K85" s="279"/>
      <c r="L85" s="244"/>
      <c r="M85" s="244"/>
      <c r="P85" s="442" t="s">
        <v>132</v>
      </c>
      <c r="Q85" s="244"/>
      <c r="R85" s="244"/>
      <c r="S85" s="244"/>
      <c r="T85" s="244"/>
      <c r="U85" s="244"/>
    </row>
    <row r="86" spans="1:21" ht="18.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5.75" thickBot="1">
      <c r="C87" s="305"/>
      <c r="D87" s="293"/>
      <c r="E87" s="244"/>
      <c r="F87" s="244"/>
      <c r="G87" s="244"/>
      <c r="H87" s="244"/>
      <c r="I87" s="326"/>
      <c r="J87" s="326"/>
      <c r="K87" s="295"/>
      <c r="L87" s="539">
        <f>+J93</f>
        <v>2021</v>
      </c>
      <c r="M87" s="540" t="s">
        <v>9</v>
      </c>
      <c r="N87" s="541" t="s">
        <v>134</v>
      </c>
      <c r="O87" s="542" t="s">
        <v>11</v>
      </c>
      <c r="P87" s="244"/>
      <c r="Q87" s="244"/>
      <c r="R87" s="244"/>
      <c r="S87" s="244"/>
      <c r="T87" s="244"/>
      <c r="U87" s="244"/>
    </row>
    <row r="88" spans="1:21" ht="15">
      <c r="C88" s="233" t="s">
        <v>44</v>
      </c>
      <c r="D88" s="293"/>
      <c r="E88" s="244"/>
      <c r="F88" s="244"/>
      <c r="G88" s="244"/>
      <c r="H88" s="445"/>
      <c r="I88" s="244" t="s">
        <v>45</v>
      </c>
      <c r="J88" s="244"/>
      <c r="K88" s="543"/>
      <c r="L88" s="544" t="s">
        <v>253</v>
      </c>
      <c r="M88" s="545">
        <f>IF(J93&lt;D11,0,VLOOKUP(J93,C17:O73,9))</f>
        <v>3509415.1582725761</v>
      </c>
      <c r="N88" s="545">
        <f>IF(J93&lt;D11,0,VLOOKUP(J93,C17:O73,11))</f>
        <v>3509415.1582725761</v>
      </c>
      <c r="O88" s="546">
        <f>+N88-M88</f>
        <v>0</v>
      </c>
      <c r="P88" s="244"/>
      <c r="Q88" s="244"/>
      <c r="R88" s="244"/>
      <c r="S88" s="244"/>
      <c r="T88" s="244"/>
      <c r="U88" s="244"/>
    </row>
    <row r="89" spans="1:21" ht="15.75">
      <c r="C89" s="236"/>
      <c r="D89" s="293"/>
      <c r="E89" s="244"/>
      <c r="F89" s="244"/>
      <c r="G89" s="244"/>
      <c r="H89" s="244"/>
      <c r="I89" s="450"/>
      <c r="J89" s="450"/>
      <c r="K89" s="547"/>
      <c r="L89" s="548" t="s">
        <v>254</v>
      </c>
      <c r="M89" s="549">
        <f>IF(J93&lt;D11,0,VLOOKUP(J93,C100:P155,6))</f>
        <v>3896157.8989285007</v>
      </c>
      <c r="N89" s="549">
        <f>IF(J93&lt;D11,0,VLOOKUP(J93,C100:P155,7))</f>
        <v>3896157.8989285007</v>
      </c>
      <c r="O89" s="550">
        <f>+N89-M89</f>
        <v>0</v>
      </c>
      <c r="P89" s="244"/>
      <c r="Q89" s="244"/>
      <c r="R89" s="244"/>
      <c r="S89" s="244"/>
      <c r="T89" s="244"/>
      <c r="U89" s="244"/>
    </row>
    <row r="90" spans="1:21" ht="13.5" thickBot="1">
      <c r="C90" s="455" t="s">
        <v>82</v>
      </c>
      <c r="D90" s="551" t="str">
        <f>+D7</f>
        <v xml:space="preserve">Canadian River - McAlester City 138 kV Line Conversion </v>
      </c>
      <c r="E90" s="244"/>
      <c r="F90" s="244"/>
      <c r="G90" s="244"/>
      <c r="H90" s="244"/>
      <c r="I90" s="326"/>
      <c r="J90" s="326"/>
      <c r="K90" s="552"/>
      <c r="L90" s="553" t="s">
        <v>135</v>
      </c>
      <c r="M90" s="554">
        <f>+M89-M88</f>
        <v>386742.74065592466</v>
      </c>
      <c r="N90" s="554">
        <f>+N89-N88</f>
        <v>386742.74065592466</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TP2009095</v>
      </c>
      <c r="E92" s="559"/>
      <c r="F92" s="559"/>
      <c r="G92" s="559"/>
      <c r="H92" s="559"/>
      <c r="I92" s="559"/>
      <c r="J92" s="559"/>
      <c r="K92" s="561"/>
      <c r="P92" s="469"/>
      <c r="Q92" s="244"/>
      <c r="R92" s="244"/>
      <c r="S92" s="244"/>
      <c r="T92" s="244"/>
      <c r="U92" s="244"/>
    </row>
    <row r="93" spans="1:21">
      <c r="C93" s="473" t="s">
        <v>49</v>
      </c>
      <c r="D93" s="599">
        <f>D10</f>
        <v>28914235.739999998</v>
      </c>
      <c r="E93" s="249" t="s">
        <v>84</v>
      </c>
      <c r="H93" s="409"/>
      <c r="I93" s="409"/>
      <c r="J93" s="472">
        <f>+'OKT.WS.G.BPU.ATRR.True-up'!M16</f>
        <v>2021</v>
      </c>
      <c r="K93" s="468"/>
      <c r="L93" s="295" t="s">
        <v>85</v>
      </c>
      <c r="P93" s="279"/>
      <c r="Q93" s="244"/>
      <c r="R93" s="244"/>
      <c r="S93" s="244"/>
      <c r="T93" s="244"/>
      <c r="U93" s="244"/>
    </row>
    <row r="94" spans="1:21">
      <c r="C94" s="473" t="s">
        <v>52</v>
      </c>
      <c r="D94" s="562">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c r="C95" s="473" t="s">
        <v>54</v>
      </c>
      <c r="D95" s="562">
        <v>8</v>
      </c>
      <c r="E95" s="473" t="s">
        <v>55</v>
      </c>
      <c r="F95" s="409"/>
      <c r="G95" s="409"/>
      <c r="J95" s="477">
        <f>'OKT.WS.G.BPU.ATRR.True-up'!$F$81</f>
        <v>0.11796201313639214</v>
      </c>
      <c r="K95" s="414"/>
      <c r="L95" s="145" t="s">
        <v>86</v>
      </c>
      <c r="P95" s="279"/>
      <c r="Q95" s="244"/>
      <c r="R95" s="244"/>
      <c r="S95" s="244"/>
      <c r="T95" s="244"/>
      <c r="U95" s="244"/>
    </row>
    <row r="96" spans="1:21">
      <c r="C96" s="473" t="s">
        <v>57</v>
      </c>
      <c r="D96" s="475">
        <f>'OKT.WS.G.BPU.ATRR.True-up'!F$93</f>
        <v>25</v>
      </c>
      <c r="E96" s="473" t="s">
        <v>58</v>
      </c>
      <c r="F96" s="409"/>
      <c r="G96" s="409"/>
      <c r="J96" s="477">
        <f>IF(H88="",J95,'OKT.WS.G.BPU.ATRR.True-up'!$F$80)</f>
        <v>0.11796201313639214</v>
      </c>
      <c r="K96" s="292"/>
      <c r="L96" s="295" t="s">
        <v>59</v>
      </c>
      <c r="M96" s="292"/>
      <c r="N96" s="292"/>
      <c r="O96" s="292"/>
      <c r="P96" s="279"/>
      <c r="Q96" s="244"/>
      <c r="R96" s="244"/>
      <c r="S96" s="244"/>
      <c r="T96" s="244"/>
      <c r="U96" s="244"/>
    </row>
    <row r="97" spans="1:21" ht="13.5" thickBot="1">
      <c r="C97" s="473" t="s">
        <v>60</v>
      </c>
      <c r="D97" s="563" t="str">
        <f>+D14</f>
        <v>No</v>
      </c>
      <c r="E97" s="564" t="s">
        <v>62</v>
      </c>
      <c r="F97" s="565"/>
      <c r="G97" s="565"/>
      <c r="H97" s="566"/>
      <c r="I97" s="566"/>
      <c r="J97" s="459">
        <f>IF(D93=0,0,D93/D96)</f>
        <v>1156569.4295999999</v>
      </c>
      <c r="K97" s="295"/>
      <c r="L97" s="295"/>
      <c r="M97" s="295"/>
      <c r="N97" s="295"/>
      <c r="O97" s="295"/>
      <c r="P97" s="279"/>
      <c r="Q97" s="244"/>
      <c r="R97" s="244"/>
      <c r="S97" s="244"/>
      <c r="T97" s="244"/>
      <c r="U97" s="244"/>
    </row>
    <row r="98" spans="1:21" ht="38.25">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c r="B100" s="145" t="str">
        <f t="shared" ref="B100:B131" si="25">IF(D100=F99,"","IU")</f>
        <v>IU</v>
      </c>
      <c r="C100" s="496">
        <f>IF(D94= "","-",D94)</f>
        <v>2013</v>
      </c>
      <c r="D100" s="497">
        <v>0</v>
      </c>
      <c r="E100" s="499">
        <v>85919.706896551725</v>
      </c>
      <c r="F100" s="506">
        <v>9880766.293103449</v>
      </c>
      <c r="G100" s="572">
        <v>4940383.1465517245</v>
      </c>
      <c r="H100" s="572">
        <v>586624.79406989401</v>
      </c>
      <c r="I100" s="572">
        <v>586624.79406989401</v>
      </c>
      <c r="J100" s="505">
        <v>0</v>
      </c>
      <c r="K100" s="505"/>
      <c r="L100" s="502">
        <f t="shared" ref="L100:L105" si="26">H100</f>
        <v>586624.79406989401</v>
      </c>
      <c r="M100" s="504">
        <f t="shared" ref="M100:M105" si="27">IF(L100&lt;&gt;0,+H100-L100,0)</f>
        <v>0</v>
      </c>
      <c r="N100" s="502">
        <f t="shared" ref="N100:N105" si="28">I100</f>
        <v>586624.79406989401</v>
      </c>
      <c r="O100" s="504">
        <f>IF(N100&lt;&gt;0,+I100-N100,0)</f>
        <v>0</v>
      </c>
      <c r="P100" s="504">
        <f>+O100-M100</f>
        <v>0</v>
      </c>
      <c r="Q100" s="244"/>
      <c r="R100" s="244"/>
      <c r="S100" s="244"/>
      <c r="T100" s="244"/>
      <c r="U100" s="244"/>
    </row>
    <row r="101" spans="1:21">
      <c r="B101" s="145" t="str">
        <f t="shared" si="25"/>
        <v>IU</v>
      </c>
      <c r="C101" s="496">
        <f>IF(D94="","-",+C100+1)</f>
        <v>2014</v>
      </c>
      <c r="D101" s="497">
        <v>28596480.293103449</v>
      </c>
      <c r="E101" s="499">
        <v>494524.13793103449</v>
      </c>
      <c r="F101" s="506">
        <v>28101956.155172415</v>
      </c>
      <c r="G101" s="506">
        <v>28349218.224137932</v>
      </c>
      <c r="H101" s="499">
        <v>3716695.0108773164</v>
      </c>
      <c r="I101" s="500">
        <v>3716695.0108773164</v>
      </c>
      <c r="J101" s="505">
        <v>0</v>
      </c>
      <c r="K101" s="505"/>
      <c r="L101" s="507">
        <f t="shared" si="26"/>
        <v>3716695.0108773164</v>
      </c>
      <c r="M101" s="505">
        <f t="shared" si="27"/>
        <v>0</v>
      </c>
      <c r="N101" s="507">
        <f t="shared" si="28"/>
        <v>3716695.0108773164</v>
      </c>
      <c r="O101" s="505">
        <f>IF(N101&lt;&gt;0,+I101-N101,0)</f>
        <v>0</v>
      </c>
      <c r="P101" s="505">
        <f>+O101-M101</f>
        <v>0</v>
      </c>
      <c r="Q101" s="244"/>
      <c r="R101" s="244"/>
      <c r="S101" s="244"/>
      <c r="T101" s="244"/>
      <c r="U101" s="244"/>
    </row>
    <row r="102" spans="1:21">
      <c r="B102" s="145" t="str">
        <f t="shared" si="25"/>
        <v>IU</v>
      </c>
      <c r="C102" s="496">
        <f>IF(D94="","-",+C101+1)</f>
        <v>2015</v>
      </c>
      <c r="D102" s="497">
        <v>28333791.895172413</v>
      </c>
      <c r="E102" s="499">
        <v>602379.91125</v>
      </c>
      <c r="F102" s="506">
        <v>27731411.983922414</v>
      </c>
      <c r="G102" s="506">
        <v>28032601.939547412</v>
      </c>
      <c r="H102" s="499">
        <v>3723233.4671503431</v>
      </c>
      <c r="I102" s="500">
        <v>3723233.4671503431</v>
      </c>
      <c r="J102" s="505">
        <v>0</v>
      </c>
      <c r="K102" s="505"/>
      <c r="L102" s="507">
        <f t="shared" si="26"/>
        <v>3723233.4671503431</v>
      </c>
      <c r="M102" s="505">
        <f t="shared" si="27"/>
        <v>0</v>
      </c>
      <c r="N102" s="507">
        <f t="shared" si="28"/>
        <v>3723233.4671503431</v>
      </c>
      <c r="O102" s="505">
        <f t="shared" ref="O102:O131" si="29">IF(N102&lt;&gt;0,+I102-N102,0)</f>
        <v>0</v>
      </c>
      <c r="P102" s="505">
        <f t="shared" ref="P102:P131" si="30">+O102-M102</f>
        <v>0</v>
      </c>
      <c r="Q102" s="244"/>
      <c r="R102" s="244"/>
      <c r="S102" s="244"/>
      <c r="T102" s="244"/>
      <c r="U102" s="244"/>
    </row>
    <row r="103" spans="1:21">
      <c r="B103" s="145" t="str">
        <f t="shared" si="25"/>
        <v/>
      </c>
      <c r="C103" s="496">
        <f>IF(D94="","-",+C102+1)</f>
        <v>2016</v>
      </c>
      <c r="D103" s="497">
        <v>27731411.983922414</v>
      </c>
      <c r="E103" s="499">
        <v>566945.79882352939</v>
      </c>
      <c r="F103" s="506">
        <v>27164466.185098886</v>
      </c>
      <c r="G103" s="506">
        <v>27447939.08451065</v>
      </c>
      <c r="H103" s="499">
        <v>3541464.1194634419</v>
      </c>
      <c r="I103" s="500">
        <v>3541464.1194634419</v>
      </c>
      <c r="J103" s="505">
        <f t="shared" ref="J103:J131" si="31">+I103-H103</f>
        <v>0</v>
      </c>
      <c r="K103" s="505"/>
      <c r="L103" s="507">
        <f t="shared" si="26"/>
        <v>3541464.1194634419</v>
      </c>
      <c r="M103" s="505">
        <f t="shared" si="27"/>
        <v>0</v>
      </c>
      <c r="N103" s="507">
        <f t="shared" si="28"/>
        <v>3541464.1194634419</v>
      </c>
      <c r="O103" s="505">
        <f>IF(N103&lt;&gt;0,+I103-N103,0)</f>
        <v>0</v>
      </c>
      <c r="P103" s="505">
        <f>+O103-M103</f>
        <v>0</v>
      </c>
      <c r="Q103" s="244"/>
      <c r="R103" s="244"/>
      <c r="S103" s="244"/>
      <c r="T103" s="244"/>
      <c r="U103" s="244"/>
    </row>
    <row r="104" spans="1:21">
      <c r="B104" s="145" t="str">
        <f t="shared" si="25"/>
        <v/>
      </c>
      <c r="C104" s="496">
        <f>IF(D94="","-",+C103+1)</f>
        <v>2017</v>
      </c>
      <c r="D104" s="497">
        <v>27164466.185098886</v>
      </c>
      <c r="E104" s="499">
        <v>722855.89350000001</v>
      </c>
      <c r="F104" s="506">
        <v>26441610.291598886</v>
      </c>
      <c r="G104" s="506">
        <v>26803038.238348886</v>
      </c>
      <c r="H104" s="499">
        <v>3867813.548691513</v>
      </c>
      <c r="I104" s="500">
        <v>3867813.548691513</v>
      </c>
      <c r="J104" s="505">
        <f t="shared" si="31"/>
        <v>0</v>
      </c>
      <c r="K104" s="505"/>
      <c r="L104" s="507">
        <f t="shared" si="26"/>
        <v>3867813.548691513</v>
      </c>
      <c r="M104" s="505">
        <f t="shared" si="27"/>
        <v>0</v>
      </c>
      <c r="N104" s="507">
        <f t="shared" si="28"/>
        <v>3867813.548691513</v>
      </c>
      <c r="O104" s="505">
        <f>IF(N104&lt;&gt;0,+I104-N104,0)</f>
        <v>0</v>
      </c>
      <c r="P104" s="505">
        <f>+O104-M104</f>
        <v>0</v>
      </c>
      <c r="Q104" s="244"/>
      <c r="R104" s="244"/>
      <c r="S104" s="244"/>
      <c r="T104" s="244"/>
      <c r="U104" s="244"/>
    </row>
    <row r="105" spans="1:21">
      <c r="B105" s="145" t="str">
        <f t="shared" si="25"/>
        <v/>
      </c>
      <c r="C105" s="496">
        <f>IF(D94="","-",+C104+1)</f>
        <v>2018</v>
      </c>
      <c r="D105" s="497">
        <v>26441610.291598886</v>
      </c>
      <c r="E105" s="499">
        <v>803173.21499999997</v>
      </c>
      <c r="F105" s="506">
        <v>25638437.076598886</v>
      </c>
      <c r="G105" s="506">
        <v>26040023.684098884</v>
      </c>
      <c r="H105" s="499">
        <v>3552021.8896915987</v>
      </c>
      <c r="I105" s="500">
        <v>3552021.8896915987</v>
      </c>
      <c r="J105" s="505">
        <f t="shared" si="31"/>
        <v>0</v>
      </c>
      <c r="K105" s="505"/>
      <c r="L105" s="507">
        <f t="shared" si="26"/>
        <v>3552021.8896915987</v>
      </c>
      <c r="M105" s="505">
        <f t="shared" si="27"/>
        <v>0</v>
      </c>
      <c r="N105" s="507">
        <f t="shared" si="28"/>
        <v>3552021.8896915987</v>
      </c>
      <c r="O105" s="505">
        <f>IF(N105&lt;&gt;0,+I105-N105,0)</f>
        <v>0</v>
      </c>
      <c r="P105" s="505">
        <f>+O105-M105</f>
        <v>0</v>
      </c>
      <c r="Q105" s="244"/>
      <c r="R105" s="244"/>
      <c r="S105" s="244"/>
      <c r="T105" s="244"/>
      <c r="U105" s="244"/>
    </row>
    <row r="106" spans="1:21">
      <c r="B106" s="145" t="str">
        <f t="shared" si="25"/>
        <v/>
      </c>
      <c r="C106" s="496">
        <f>IF(D94="","-",+C105+1)</f>
        <v>2019</v>
      </c>
      <c r="D106" s="497">
        <v>25638437.076598886</v>
      </c>
      <c r="E106" s="499">
        <v>803173.21499999997</v>
      </c>
      <c r="F106" s="506">
        <v>24835263.861598887</v>
      </c>
      <c r="G106" s="506">
        <v>25236850.469098888</v>
      </c>
      <c r="H106" s="499">
        <v>3467236.9580654148</v>
      </c>
      <c r="I106" s="500">
        <v>3467236.9580654148</v>
      </c>
      <c r="J106" s="505">
        <f t="shared" si="31"/>
        <v>0</v>
      </c>
      <c r="K106" s="505"/>
      <c r="L106" s="507">
        <f t="shared" ref="L106" si="32">H106</f>
        <v>3467236.9580654148</v>
      </c>
      <c r="M106" s="505">
        <f t="shared" ref="M106" si="33">IF(L106&lt;&gt;0,+H106-L106,0)</f>
        <v>0</v>
      </c>
      <c r="N106" s="507">
        <f t="shared" ref="N106" si="34">I106</f>
        <v>3467236.9580654148</v>
      </c>
      <c r="O106" s="505">
        <f t="shared" si="29"/>
        <v>0</v>
      </c>
      <c r="P106" s="505">
        <f t="shared" si="30"/>
        <v>0</v>
      </c>
      <c r="Q106" s="244"/>
      <c r="R106" s="244"/>
      <c r="S106" s="244"/>
      <c r="T106" s="244"/>
      <c r="U106" s="244"/>
    </row>
    <row r="107" spans="1:21">
      <c r="B107" s="145" t="str">
        <f t="shared" si="25"/>
        <v/>
      </c>
      <c r="C107" s="496">
        <f>IF(D94="","-",+C106+1)</f>
        <v>2020</v>
      </c>
      <c r="D107" s="497">
        <v>24835263.861598887</v>
      </c>
      <c r="E107" s="499">
        <v>1032651.2764285713</v>
      </c>
      <c r="F107" s="506">
        <v>23802612.585170314</v>
      </c>
      <c r="G107" s="506">
        <v>24318938.2233846</v>
      </c>
      <c r="H107" s="499">
        <v>3620514.584021511</v>
      </c>
      <c r="I107" s="500">
        <v>3620514.584021511</v>
      </c>
      <c r="J107" s="505">
        <f t="shared" si="31"/>
        <v>0</v>
      </c>
      <c r="K107" s="505"/>
      <c r="L107" s="507">
        <f t="shared" ref="L107" si="35">H107</f>
        <v>3620514.584021511</v>
      </c>
      <c r="M107" s="505">
        <f t="shared" ref="M107" si="36">IF(L107&lt;&gt;0,+H107-L107,0)</f>
        <v>0</v>
      </c>
      <c r="N107" s="507">
        <f t="shared" ref="N107" si="37">I107</f>
        <v>3620514.584021511</v>
      </c>
      <c r="O107" s="505">
        <f t="shared" si="29"/>
        <v>0</v>
      </c>
      <c r="P107" s="505">
        <f t="shared" si="30"/>
        <v>0</v>
      </c>
      <c r="Q107" s="244"/>
      <c r="R107" s="244"/>
      <c r="S107" s="244"/>
      <c r="T107" s="244"/>
      <c r="U107" s="244"/>
    </row>
    <row r="108" spans="1:21">
      <c r="B108" s="145" t="str">
        <f t="shared" si="25"/>
        <v/>
      </c>
      <c r="C108" s="496">
        <f>IF(D94="","-",+C107+1)</f>
        <v>2021</v>
      </c>
      <c r="D108" s="350">
        <f>IF(F107+SUM(E$100:E107)=D$93,F107,D$93-SUM(E$100:E107))</f>
        <v>23802612.585170314</v>
      </c>
      <c r="E108" s="510">
        <f>IF(+J97&lt;F107,J97,D108)</f>
        <v>1156569.4295999999</v>
      </c>
      <c r="F108" s="511">
        <f t="shared" ref="F108:F132" si="38">+D108-E108</f>
        <v>22646043.155570313</v>
      </c>
      <c r="G108" s="511">
        <f t="shared" ref="G108:G131" si="39">+(F108+D108)/2</f>
        <v>23224327.870370314</v>
      </c>
      <c r="H108" s="646">
        <f t="shared" ref="H108:H155" si="40">(D108+F108)/2*J$95+E108</f>
        <v>3896157.8989285007</v>
      </c>
      <c r="I108" s="573">
        <f t="shared" ref="I108:I131" si="41">+J$96*G108+E108</f>
        <v>3896157.8989285007</v>
      </c>
      <c r="J108" s="505">
        <f t="shared" si="31"/>
        <v>0</v>
      </c>
      <c r="K108" s="505"/>
      <c r="L108" s="513"/>
      <c r="M108" s="505">
        <f t="shared" ref="M108:M131" si="42">IF(L108&lt;&gt;0,+H108-L108,0)</f>
        <v>0</v>
      </c>
      <c r="N108" s="513"/>
      <c r="O108" s="505">
        <f t="shared" si="29"/>
        <v>0</v>
      </c>
      <c r="P108" s="505">
        <f t="shared" si="30"/>
        <v>0</v>
      </c>
      <c r="Q108" s="244"/>
      <c r="R108" s="244"/>
      <c r="S108" s="244"/>
      <c r="T108" s="244"/>
      <c r="U108" s="244"/>
    </row>
    <row r="109" spans="1:21">
      <c r="B109" s="145" t="str">
        <f t="shared" si="25"/>
        <v/>
      </c>
      <c r="C109" s="496">
        <f>IF(D94="","-",+C108+1)</f>
        <v>2022</v>
      </c>
      <c r="D109" s="350">
        <f>IF(F108+SUM(E$100:E108)=D$93,F108,D$93-SUM(E$100:E108))</f>
        <v>22646043.155570313</v>
      </c>
      <c r="E109" s="510">
        <f>IF(+J97&lt;F108,J97,D109)</f>
        <v>1156569.4295999999</v>
      </c>
      <c r="F109" s="511">
        <f t="shared" si="38"/>
        <v>21489473.725970313</v>
      </c>
      <c r="G109" s="511">
        <f t="shared" si="39"/>
        <v>22067758.440770313</v>
      </c>
      <c r="H109" s="646">
        <f t="shared" si="40"/>
        <v>3759726.6406808761</v>
      </c>
      <c r="I109" s="573">
        <f t="shared" si="41"/>
        <v>3759726.6406808761</v>
      </c>
      <c r="J109" s="505">
        <f t="shared" si="31"/>
        <v>0</v>
      </c>
      <c r="K109" s="505"/>
      <c r="L109" s="513"/>
      <c r="M109" s="505">
        <f t="shared" si="42"/>
        <v>0</v>
      </c>
      <c r="N109" s="513"/>
      <c r="O109" s="505">
        <f t="shared" si="29"/>
        <v>0</v>
      </c>
      <c r="P109" s="505">
        <f t="shared" si="30"/>
        <v>0</v>
      </c>
      <c r="Q109" s="244"/>
      <c r="R109" s="244"/>
      <c r="S109" s="244"/>
      <c r="T109" s="244"/>
      <c r="U109" s="244"/>
    </row>
    <row r="110" spans="1:21">
      <c r="B110" s="145" t="str">
        <f t="shared" si="25"/>
        <v/>
      </c>
      <c r="C110" s="496">
        <f>IF(D94="","-",+C109+1)</f>
        <v>2023</v>
      </c>
      <c r="D110" s="350">
        <f>IF(F109+SUM(E$100:E109)=D$93,F109,D$93-SUM(E$100:E109))</f>
        <v>21489473.725970313</v>
      </c>
      <c r="E110" s="510">
        <f>IF(+J97&lt;F109,J97,D110)</f>
        <v>1156569.4295999999</v>
      </c>
      <c r="F110" s="511">
        <f t="shared" si="38"/>
        <v>20332904.296370313</v>
      </c>
      <c r="G110" s="511">
        <f t="shared" si="39"/>
        <v>20911189.011170313</v>
      </c>
      <c r="H110" s="646">
        <f t="shared" si="40"/>
        <v>3623295.3824332515</v>
      </c>
      <c r="I110" s="573">
        <f t="shared" si="41"/>
        <v>3623295.3824332515</v>
      </c>
      <c r="J110" s="505">
        <f t="shared" si="31"/>
        <v>0</v>
      </c>
      <c r="K110" s="505"/>
      <c r="L110" s="513"/>
      <c r="M110" s="505">
        <f t="shared" si="42"/>
        <v>0</v>
      </c>
      <c r="N110" s="513"/>
      <c r="O110" s="505">
        <f t="shared" si="29"/>
        <v>0</v>
      </c>
      <c r="P110" s="505">
        <f t="shared" si="30"/>
        <v>0</v>
      </c>
      <c r="Q110" s="244"/>
      <c r="R110" s="244"/>
      <c r="S110" s="244"/>
      <c r="T110" s="244"/>
      <c r="U110" s="244"/>
    </row>
    <row r="111" spans="1:21">
      <c r="B111" s="145" t="str">
        <f t="shared" si="25"/>
        <v/>
      </c>
      <c r="C111" s="496">
        <f>IF(D94="","-",+C110+1)</f>
        <v>2024</v>
      </c>
      <c r="D111" s="350">
        <f>IF(F110+SUM(E$100:E110)=D$93,F110,D$93-SUM(E$100:E110))</f>
        <v>20332904.296370313</v>
      </c>
      <c r="E111" s="510">
        <f>IF(+J97&lt;F110,J97,D111)</f>
        <v>1156569.4295999999</v>
      </c>
      <c r="F111" s="511">
        <f t="shared" si="38"/>
        <v>19176334.866770312</v>
      </c>
      <c r="G111" s="511">
        <f t="shared" si="39"/>
        <v>19754619.581570312</v>
      </c>
      <c r="H111" s="646">
        <f t="shared" si="40"/>
        <v>3486864.1241856264</v>
      </c>
      <c r="I111" s="573">
        <f t="shared" si="41"/>
        <v>3486864.1241856264</v>
      </c>
      <c r="J111" s="505">
        <f t="shared" si="31"/>
        <v>0</v>
      </c>
      <c r="K111" s="505"/>
      <c r="L111" s="513"/>
      <c r="M111" s="505">
        <f t="shared" si="42"/>
        <v>0</v>
      </c>
      <c r="N111" s="513"/>
      <c r="O111" s="505">
        <f t="shared" si="29"/>
        <v>0</v>
      </c>
      <c r="P111" s="505">
        <f t="shared" si="30"/>
        <v>0</v>
      </c>
      <c r="Q111" s="244"/>
      <c r="R111" s="244"/>
      <c r="S111" s="244"/>
      <c r="T111" s="244"/>
      <c r="U111" s="244"/>
    </row>
    <row r="112" spans="1:21">
      <c r="B112" s="145" t="str">
        <f t="shared" si="25"/>
        <v/>
      </c>
      <c r="C112" s="496">
        <f>IF(D94="","-",+C111+1)</f>
        <v>2025</v>
      </c>
      <c r="D112" s="350">
        <f>IF(F111+SUM(E$100:E111)=D$93,F111,D$93-SUM(E$100:E111))</f>
        <v>19176334.866770312</v>
      </c>
      <c r="E112" s="510">
        <f>IF(+J97&lt;F111,J97,D112)</f>
        <v>1156569.4295999999</v>
      </c>
      <c r="F112" s="511">
        <f t="shared" si="38"/>
        <v>18019765.437170312</v>
      </c>
      <c r="G112" s="511">
        <f t="shared" si="39"/>
        <v>18598050.151970312</v>
      </c>
      <c r="H112" s="646">
        <f t="shared" si="40"/>
        <v>3350432.8659380018</v>
      </c>
      <c r="I112" s="573">
        <f t="shared" si="41"/>
        <v>3350432.8659380018</v>
      </c>
      <c r="J112" s="505">
        <f t="shared" si="31"/>
        <v>0</v>
      </c>
      <c r="K112" s="505"/>
      <c r="L112" s="513"/>
      <c r="M112" s="505">
        <f t="shared" si="42"/>
        <v>0</v>
      </c>
      <c r="N112" s="513"/>
      <c r="O112" s="505">
        <f t="shared" si="29"/>
        <v>0</v>
      </c>
      <c r="P112" s="505">
        <f t="shared" si="30"/>
        <v>0</v>
      </c>
      <c r="Q112" s="244"/>
      <c r="R112" s="244"/>
      <c r="S112" s="244"/>
      <c r="T112" s="244"/>
      <c r="U112" s="244"/>
    </row>
    <row r="113" spans="2:21">
      <c r="B113" s="145" t="str">
        <f t="shared" si="25"/>
        <v/>
      </c>
      <c r="C113" s="496">
        <f>IF(D94="","-",+C112+1)</f>
        <v>2026</v>
      </c>
      <c r="D113" s="350">
        <f>IF(F112+SUM(E$100:E112)=D$93,F112,D$93-SUM(E$100:E112))</f>
        <v>18019765.437170312</v>
      </c>
      <c r="E113" s="510">
        <f>IF(+J97&lt;F112,J97,D113)</f>
        <v>1156569.4295999999</v>
      </c>
      <c r="F113" s="511">
        <f t="shared" si="38"/>
        <v>16863196.007570311</v>
      </c>
      <c r="G113" s="511">
        <f t="shared" si="39"/>
        <v>17441480.722370312</v>
      </c>
      <c r="H113" s="646">
        <f t="shared" si="40"/>
        <v>3214001.6076903772</v>
      </c>
      <c r="I113" s="573">
        <f t="shared" si="41"/>
        <v>3214001.6076903772</v>
      </c>
      <c r="J113" s="505">
        <f t="shared" si="31"/>
        <v>0</v>
      </c>
      <c r="K113" s="505"/>
      <c r="L113" s="513"/>
      <c r="M113" s="505">
        <f t="shared" si="42"/>
        <v>0</v>
      </c>
      <c r="N113" s="513"/>
      <c r="O113" s="505">
        <f t="shared" si="29"/>
        <v>0</v>
      </c>
      <c r="P113" s="505">
        <f t="shared" si="30"/>
        <v>0</v>
      </c>
      <c r="Q113" s="244"/>
      <c r="R113" s="244"/>
      <c r="S113" s="244"/>
      <c r="T113" s="244"/>
      <c r="U113" s="244"/>
    </row>
    <row r="114" spans="2:21">
      <c r="B114" s="145" t="str">
        <f t="shared" si="25"/>
        <v/>
      </c>
      <c r="C114" s="496">
        <f>IF(D94="","-",+C113+1)</f>
        <v>2027</v>
      </c>
      <c r="D114" s="350">
        <f>IF(F113+SUM(E$100:E113)=D$93,F113,D$93-SUM(E$100:E113))</f>
        <v>16863196.007570311</v>
      </c>
      <c r="E114" s="510">
        <f>IF(+J97&lt;F113,J97,D114)</f>
        <v>1156569.4295999999</v>
      </c>
      <c r="F114" s="511">
        <f t="shared" si="38"/>
        <v>15706626.577970311</v>
      </c>
      <c r="G114" s="511">
        <f t="shared" si="39"/>
        <v>16284911.292770311</v>
      </c>
      <c r="H114" s="646">
        <f t="shared" si="40"/>
        <v>3077570.3494427521</v>
      </c>
      <c r="I114" s="573">
        <f t="shared" si="41"/>
        <v>3077570.3494427521</v>
      </c>
      <c r="J114" s="505">
        <f t="shared" si="31"/>
        <v>0</v>
      </c>
      <c r="K114" s="505"/>
      <c r="L114" s="513"/>
      <c r="M114" s="505">
        <f t="shared" si="42"/>
        <v>0</v>
      </c>
      <c r="N114" s="513"/>
      <c r="O114" s="505">
        <f t="shared" si="29"/>
        <v>0</v>
      </c>
      <c r="P114" s="505">
        <f t="shared" si="30"/>
        <v>0</v>
      </c>
      <c r="Q114" s="244"/>
      <c r="R114" s="244"/>
      <c r="S114" s="244"/>
      <c r="T114" s="244"/>
      <c r="U114" s="244"/>
    </row>
    <row r="115" spans="2:21">
      <c r="B115" s="145" t="str">
        <f t="shared" si="25"/>
        <v/>
      </c>
      <c r="C115" s="496">
        <f>IF(D94="","-",+C114+1)</f>
        <v>2028</v>
      </c>
      <c r="D115" s="350">
        <f>IF(F114+SUM(E$100:E114)=D$93,F114,D$93-SUM(E$100:E114))</f>
        <v>15706626.577970311</v>
      </c>
      <c r="E115" s="510">
        <f>IF(+J97&lt;F114,J97,D115)</f>
        <v>1156569.4295999999</v>
      </c>
      <c r="F115" s="511">
        <f t="shared" si="38"/>
        <v>14550057.148370311</v>
      </c>
      <c r="G115" s="511">
        <f t="shared" si="39"/>
        <v>15128341.863170311</v>
      </c>
      <c r="H115" s="646">
        <f t="shared" si="40"/>
        <v>2941139.091195127</v>
      </c>
      <c r="I115" s="573">
        <f t="shared" si="41"/>
        <v>2941139.091195127</v>
      </c>
      <c r="J115" s="505">
        <f t="shared" si="31"/>
        <v>0</v>
      </c>
      <c r="K115" s="505"/>
      <c r="L115" s="513"/>
      <c r="M115" s="505">
        <f t="shared" si="42"/>
        <v>0</v>
      </c>
      <c r="N115" s="513"/>
      <c r="O115" s="505">
        <f t="shared" si="29"/>
        <v>0</v>
      </c>
      <c r="P115" s="505">
        <f t="shared" si="30"/>
        <v>0</v>
      </c>
      <c r="Q115" s="244"/>
      <c r="R115" s="244"/>
      <c r="S115" s="244"/>
      <c r="T115" s="244"/>
      <c r="U115" s="244"/>
    </row>
    <row r="116" spans="2:21">
      <c r="B116" s="145" t="str">
        <f t="shared" si="25"/>
        <v/>
      </c>
      <c r="C116" s="496">
        <f>IF(D94="","-",+C115+1)</f>
        <v>2029</v>
      </c>
      <c r="D116" s="350">
        <f>IF(F115+SUM(E$100:E115)=D$93,F115,D$93-SUM(E$100:E115))</f>
        <v>14550057.148370311</v>
      </c>
      <c r="E116" s="510">
        <f>IF(+J97&lt;F115,J97,D116)</f>
        <v>1156569.4295999999</v>
      </c>
      <c r="F116" s="511">
        <f t="shared" si="38"/>
        <v>13393487.71877031</v>
      </c>
      <c r="G116" s="511">
        <f t="shared" si="39"/>
        <v>13971772.43357031</v>
      </c>
      <c r="H116" s="646">
        <f t="shared" si="40"/>
        <v>2804707.8329475024</v>
      </c>
      <c r="I116" s="573">
        <f t="shared" si="41"/>
        <v>2804707.8329475024</v>
      </c>
      <c r="J116" s="505">
        <f t="shared" si="31"/>
        <v>0</v>
      </c>
      <c r="K116" s="505"/>
      <c r="L116" s="513"/>
      <c r="M116" s="505">
        <f t="shared" si="42"/>
        <v>0</v>
      </c>
      <c r="N116" s="513"/>
      <c r="O116" s="505">
        <f t="shared" si="29"/>
        <v>0</v>
      </c>
      <c r="P116" s="505">
        <f t="shared" si="30"/>
        <v>0</v>
      </c>
      <c r="Q116" s="244"/>
      <c r="R116" s="244"/>
      <c r="S116" s="244"/>
      <c r="T116" s="244"/>
      <c r="U116" s="244"/>
    </row>
    <row r="117" spans="2:21">
      <c r="B117" s="145" t="str">
        <f t="shared" si="25"/>
        <v/>
      </c>
      <c r="C117" s="496">
        <f>IF(D94="","-",+C116+1)</f>
        <v>2030</v>
      </c>
      <c r="D117" s="350">
        <f>IF(F116+SUM(E$100:E116)=D$93,F116,D$93-SUM(E$100:E116))</f>
        <v>13393487.71877031</v>
      </c>
      <c r="E117" s="510">
        <f>IF(+J97&lt;F116,J97,D117)</f>
        <v>1156569.4295999999</v>
      </c>
      <c r="F117" s="511">
        <f t="shared" si="38"/>
        <v>12236918.28917031</v>
      </c>
      <c r="G117" s="511">
        <f t="shared" si="39"/>
        <v>12815203.00397031</v>
      </c>
      <c r="H117" s="646">
        <f t="shared" si="40"/>
        <v>2668276.5746998778</v>
      </c>
      <c r="I117" s="573">
        <f t="shared" si="41"/>
        <v>2668276.5746998778</v>
      </c>
      <c r="J117" s="505">
        <f t="shared" si="31"/>
        <v>0</v>
      </c>
      <c r="K117" s="505"/>
      <c r="L117" s="513"/>
      <c r="M117" s="505">
        <f t="shared" si="42"/>
        <v>0</v>
      </c>
      <c r="N117" s="513"/>
      <c r="O117" s="505">
        <f t="shared" si="29"/>
        <v>0</v>
      </c>
      <c r="P117" s="505">
        <f t="shared" si="30"/>
        <v>0</v>
      </c>
      <c r="Q117" s="244"/>
      <c r="R117" s="244"/>
      <c r="S117" s="244"/>
      <c r="T117" s="244"/>
      <c r="U117" s="244"/>
    </row>
    <row r="118" spans="2:21">
      <c r="B118" s="145" t="str">
        <f t="shared" si="25"/>
        <v/>
      </c>
      <c r="C118" s="496">
        <f>IF(D94="","-",+C117+1)</f>
        <v>2031</v>
      </c>
      <c r="D118" s="350">
        <f>IF(F117+SUM(E$100:E117)=D$93,F117,D$93-SUM(E$100:E117))</f>
        <v>12236918.28917031</v>
      </c>
      <c r="E118" s="510">
        <f>IF(+J97&lt;F117,J97,D118)</f>
        <v>1156569.4295999999</v>
      </c>
      <c r="F118" s="511">
        <f t="shared" si="38"/>
        <v>11080348.85957031</v>
      </c>
      <c r="G118" s="511">
        <f t="shared" si="39"/>
        <v>11658633.57437031</v>
      </c>
      <c r="H118" s="646">
        <f t="shared" si="40"/>
        <v>2531845.3164522527</v>
      </c>
      <c r="I118" s="573">
        <f t="shared" si="41"/>
        <v>2531845.3164522527</v>
      </c>
      <c r="J118" s="505">
        <f t="shared" si="31"/>
        <v>0</v>
      </c>
      <c r="K118" s="505"/>
      <c r="L118" s="513"/>
      <c r="M118" s="505">
        <f t="shared" si="42"/>
        <v>0</v>
      </c>
      <c r="N118" s="513"/>
      <c r="O118" s="505">
        <f t="shared" si="29"/>
        <v>0</v>
      </c>
      <c r="P118" s="505">
        <f t="shared" si="30"/>
        <v>0</v>
      </c>
      <c r="Q118" s="244"/>
      <c r="R118" s="244"/>
      <c r="S118" s="244"/>
      <c r="T118" s="244"/>
      <c r="U118" s="244"/>
    </row>
    <row r="119" spans="2:21">
      <c r="B119" s="145" t="str">
        <f t="shared" si="25"/>
        <v/>
      </c>
      <c r="C119" s="496">
        <f>IF(D94="","-",+C118+1)</f>
        <v>2032</v>
      </c>
      <c r="D119" s="350">
        <f>IF(F118+SUM(E$100:E118)=D$93,F118,D$93-SUM(E$100:E118))</f>
        <v>11080348.85957031</v>
      </c>
      <c r="E119" s="510">
        <f>IF(+J97&lt;F118,J97,D119)</f>
        <v>1156569.4295999999</v>
      </c>
      <c r="F119" s="511">
        <f t="shared" si="38"/>
        <v>9923779.4299703091</v>
      </c>
      <c r="G119" s="511">
        <f t="shared" si="39"/>
        <v>10502064.144770309</v>
      </c>
      <c r="H119" s="646">
        <f t="shared" si="40"/>
        <v>2395414.0582046281</v>
      </c>
      <c r="I119" s="573">
        <f t="shared" si="41"/>
        <v>2395414.0582046281</v>
      </c>
      <c r="J119" s="505">
        <f t="shared" si="31"/>
        <v>0</v>
      </c>
      <c r="K119" s="505"/>
      <c r="L119" s="513"/>
      <c r="M119" s="505">
        <f t="shared" si="42"/>
        <v>0</v>
      </c>
      <c r="N119" s="513"/>
      <c r="O119" s="505">
        <f t="shared" si="29"/>
        <v>0</v>
      </c>
      <c r="P119" s="505">
        <f t="shared" si="30"/>
        <v>0</v>
      </c>
      <c r="Q119" s="244"/>
      <c r="R119" s="244"/>
      <c r="S119" s="244"/>
      <c r="T119" s="244"/>
      <c r="U119" s="244"/>
    </row>
    <row r="120" spans="2:21">
      <c r="B120" s="145" t="str">
        <f t="shared" si="25"/>
        <v/>
      </c>
      <c r="C120" s="496">
        <f>IF(D94="","-",+C119+1)</f>
        <v>2033</v>
      </c>
      <c r="D120" s="350">
        <f>IF(F119+SUM(E$100:E119)=D$93,F119,D$93-SUM(E$100:E119))</f>
        <v>9923779.4299703091</v>
      </c>
      <c r="E120" s="510">
        <f>IF(+J97&lt;F119,J97,D120)</f>
        <v>1156569.4295999999</v>
      </c>
      <c r="F120" s="511">
        <f t="shared" si="38"/>
        <v>8767210.0003703088</v>
      </c>
      <c r="G120" s="511">
        <f t="shared" si="39"/>
        <v>9345494.7151703089</v>
      </c>
      <c r="H120" s="646">
        <f t="shared" si="40"/>
        <v>2258982.7999570034</v>
      </c>
      <c r="I120" s="573">
        <f t="shared" si="41"/>
        <v>2258982.7999570034</v>
      </c>
      <c r="J120" s="505">
        <f t="shared" si="31"/>
        <v>0</v>
      </c>
      <c r="K120" s="505"/>
      <c r="L120" s="513"/>
      <c r="M120" s="505">
        <f t="shared" si="42"/>
        <v>0</v>
      </c>
      <c r="N120" s="513"/>
      <c r="O120" s="505">
        <f t="shared" si="29"/>
        <v>0</v>
      </c>
      <c r="P120" s="505">
        <f t="shared" si="30"/>
        <v>0</v>
      </c>
      <c r="Q120" s="244"/>
      <c r="R120" s="244"/>
      <c r="S120" s="244"/>
      <c r="T120" s="244"/>
      <c r="U120" s="244"/>
    </row>
    <row r="121" spans="2:21">
      <c r="B121" s="145" t="str">
        <f t="shared" si="25"/>
        <v/>
      </c>
      <c r="C121" s="496">
        <f>IF(D94="","-",+C120+1)</f>
        <v>2034</v>
      </c>
      <c r="D121" s="350">
        <f>IF(F120+SUM(E$100:E120)=D$93,F120,D$93-SUM(E$100:E120))</f>
        <v>8767210.0003703088</v>
      </c>
      <c r="E121" s="510">
        <f>IF(+J97&lt;F120,J97,D121)</f>
        <v>1156569.4295999999</v>
      </c>
      <c r="F121" s="511">
        <f t="shared" si="38"/>
        <v>7610640.5707703084</v>
      </c>
      <c r="G121" s="511">
        <f t="shared" si="39"/>
        <v>8188925.2855703086</v>
      </c>
      <c r="H121" s="646">
        <f t="shared" si="40"/>
        <v>2122551.5417093784</v>
      </c>
      <c r="I121" s="573">
        <f t="shared" si="41"/>
        <v>2122551.5417093784</v>
      </c>
      <c r="J121" s="505">
        <f t="shared" si="31"/>
        <v>0</v>
      </c>
      <c r="K121" s="505"/>
      <c r="L121" s="513"/>
      <c r="M121" s="505">
        <f t="shared" si="42"/>
        <v>0</v>
      </c>
      <c r="N121" s="513"/>
      <c r="O121" s="505">
        <f t="shared" si="29"/>
        <v>0</v>
      </c>
      <c r="P121" s="505">
        <f t="shared" si="30"/>
        <v>0</v>
      </c>
      <c r="Q121" s="244"/>
      <c r="R121" s="244"/>
      <c r="S121" s="244"/>
      <c r="T121" s="244"/>
      <c r="U121" s="244"/>
    </row>
    <row r="122" spans="2:21">
      <c r="B122" s="145" t="str">
        <f t="shared" si="25"/>
        <v/>
      </c>
      <c r="C122" s="496">
        <f>IF(D94="","-",+C121+1)</f>
        <v>2035</v>
      </c>
      <c r="D122" s="350">
        <f>IF(F121+SUM(E$100:E121)=D$93,F121,D$93-SUM(E$100:E121))</f>
        <v>7610640.5707703084</v>
      </c>
      <c r="E122" s="510">
        <f>IF(+J97&lt;F121,J97,D122)</f>
        <v>1156569.4295999999</v>
      </c>
      <c r="F122" s="511">
        <f t="shared" si="38"/>
        <v>6454071.141170308</v>
      </c>
      <c r="G122" s="511">
        <f t="shared" si="39"/>
        <v>7032355.8559703082</v>
      </c>
      <c r="H122" s="646">
        <f t="shared" si="40"/>
        <v>1986120.2834617537</v>
      </c>
      <c r="I122" s="573">
        <f t="shared" si="41"/>
        <v>1986120.2834617537</v>
      </c>
      <c r="J122" s="505">
        <f t="shared" si="31"/>
        <v>0</v>
      </c>
      <c r="K122" s="505"/>
      <c r="L122" s="513"/>
      <c r="M122" s="505">
        <f t="shared" si="42"/>
        <v>0</v>
      </c>
      <c r="N122" s="513"/>
      <c r="O122" s="505">
        <f t="shared" si="29"/>
        <v>0</v>
      </c>
      <c r="P122" s="505">
        <f t="shared" si="30"/>
        <v>0</v>
      </c>
      <c r="Q122" s="244"/>
      <c r="R122" s="244"/>
      <c r="S122" s="244"/>
      <c r="T122" s="244"/>
      <c r="U122" s="244"/>
    </row>
    <row r="123" spans="2:21">
      <c r="B123" s="145" t="str">
        <f t="shared" si="25"/>
        <v/>
      </c>
      <c r="C123" s="496">
        <f>IF(D94="","-",+C122+1)</f>
        <v>2036</v>
      </c>
      <c r="D123" s="350">
        <f>IF(F122+SUM(E$100:E122)=D$93,F122,D$93-SUM(E$100:E122))</f>
        <v>6454071.141170308</v>
      </c>
      <c r="E123" s="510">
        <f>IF(+J97&lt;F122,J97,D123)</f>
        <v>1156569.4295999999</v>
      </c>
      <c r="F123" s="511">
        <f t="shared" si="38"/>
        <v>5297501.7115703076</v>
      </c>
      <c r="G123" s="511">
        <f t="shared" si="39"/>
        <v>5875786.4263703078</v>
      </c>
      <c r="H123" s="646">
        <f t="shared" si="40"/>
        <v>1849689.0252141287</v>
      </c>
      <c r="I123" s="573">
        <f t="shared" si="41"/>
        <v>1849689.0252141287</v>
      </c>
      <c r="J123" s="505">
        <f t="shared" si="31"/>
        <v>0</v>
      </c>
      <c r="K123" s="505"/>
      <c r="L123" s="513"/>
      <c r="M123" s="505">
        <f t="shared" si="42"/>
        <v>0</v>
      </c>
      <c r="N123" s="513"/>
      <c r="O123" s="505">
        <f t="shared" si="29"/>
        <v>0</v>
      </c>
      <c r="P123" s="505">
        <f t="shared" si="30"/>
        <v>0</v>
      </c>
      <c r="Q123" s="244"/>
      <c r="R123" s="244"/>
      <c r="S123" s="244"/>
      <c r="T123" s="244"/>
      <c r="U123" s="244"/>
    </row>
    <row r="124" spans="2:21">
      <c r="B124" s="145" t="str">
        <f t="shared" si="25"/>
        <v/>
      </c>
      <c r="C124" s="496">
        <f>IF(D94="","-",+C123+1)</f>
        <v>2037</v>
      </c>
      <c r="D124" s="350">
        <f>IF(F123+SUM(E$100:E123)=D$93,F123,D$93-SUM(E$100:E123))</f>
        <v>5297501.7115703076</v>
      </c>
      <c r="E124" s="510">
        <f>IF(+J97&lt;F123,J97,D124)</f>
        <v>1156569.4295999999</v>
      </c>
      <c r="F124" s="511">
        <f t="shared" si="38"/>
        <v>4140932.2819703077</v>
      </c>
      <c r="G124" s="511">
        <f t="shared" si="39"/>
        <v>4719216.9967703074</v>
      </c>
      <c r="H124" s="646">
        <f t="shared" si="40"/>
        <v>1713257.766966504</v>
      </c>
      <c r="I124" s="573">
        <f t="shared" si="41"/>
        <v>1713257.766966504</v>
      </c>
      <c r="J124" s="505">
        <f t="shared" si="31"/>
        <v>0</v>
      </c>
      <c r="K124" s="505"/>
      <c r="L124" s="513"/>
      <c r="M124" s="505">
        <f t="shared" si="42"/>
        <v>0</v>
      </c>
      <c r="N124" s="513"/>
      <c r="O124" s="505">
        <f t="shared" si="29"/>
        <v>0</v>
      </c>
      <c r="P124" s="505">
        <f t="shared" si="30"/>
        <v>0</v>
      </c>
      <c r="Q124" s="244"/>
      <c r="R124" s="244"/>
      <c r="S124" s="244"/>
      <c r="T124" s="244"/>
      <c r="U124" s="244"/>
    </row>
    <row r="125" spans="2:21">
      <c r="B125" s="145" t="str">
        <f t="shared" si="25"/>
        <v/>
      </c>
      <c r="C125" s="496">
        <f>IF(D94="","-",+C124+1)</f>
        <v>2038</v>
      </c>
      <c r="D125" s="350">
        <f>IF(F124+SUM(E$100:E124)=D$93,F124,D$93-SUM(E$100:E124))</f>
        <v>4140932.2819703077</v>
      </c>
      <c r="E125" s="510">
        <f>IF(+J97&lt;F124,J97,D125)</f>
        <v>1156569.4295999999</v>
      </c>
      <c r="F125" s="511">
        <f t="shared" si="38"/>
        <v>2984362.8523703078</v>
      </c>
      <c r="G125" s="511">
        <f t="shared" si="39"/>
        <v>3562647.567170308</v>
      </c>
      <c r="H125" s="646">
        <f t="shared" si="40"/>
        <v>1576826.5087188792</v>
      </c>
      <c r="I125" s="573">
        <f t="shared" si="41"/>
        <v>1576826.5087188792</v>
      </c>
      <c r="J125" s="505">
        <f t="shared" si="31"/>
        <v>0</v>
      </c>
      <c r="K125" s="505"/>
      <c r="L125" s="513"/>
      <c r="M125" s="505">
        <f t="shared" si="42"/>
        <v>0</v>
      </c>
      <c r="N125" s="513"/>
      <c r="O125" s="505">
        <f t="shared" si="29"/>
        <v>0</v>
      </c>
      <c r="P125" s="505">
        <f t="shared" si="30"/>
        <v>0</v>
      </c>
      <c r="Q125" s="244"/>
      <c r="R125" s="244"/>
      <c r="S125" s="244"/>
      <c r="T125" s="244"/>
      <c r="U125" s="244"/>
    </row>
    <row r="126" spans="2:21">
      <c r="B126" s="145" t="str">
        <f t="shared" si="25"/>
        <v/>
      </c>
      <c r="C126" s="496">
        <f>IF(D94="","-",+C125+1)</f>
        <v>2039</v>
      </c>
      <c r="D126" s="350">
        <f>IF(F125+SUM(E$100:E125)=D$93,F125,D$93-SUM(E$100:E125))</f>
        <v>2984362.8523703078</v>
      </c>
      <c r="E126" s="510">
        <f>IF(+J97&lt;F125,J97,D126)</f>
        <v>1156569.4295999999</v>
      </c>
      <c r="F126" s="511">
        <f t="shared" si="38"/>
        <v>1827793.4227703079</v>
      </c>
      <c r="G126" s="511">
        <f t="shared" si="39"/>
        <v>2406078.1375703076</v>
      </c>
      <c r="H126" s="646">
        <f t="shared" si="40"/>
        <v>1440395.2504712543</v>
      </c>
      <c r="I126" s="573">
        <f t="shared" si="41"/>
        <v>1440395.2504712543</v>
      </c>
      <c r="J126" s="505">
        <f t="shared" si="31"/>
        <v>0</v>
      </c>
      <c r="K126" s="505"/>
      <c r="L126" s="513"/>
      <c r="M126" s="505">
        <f t="shared" si="42"/>
        <v>0</v>
      </c>
      <c r="N126" s="513"/>
      <c r="O126" s="505">
        <f t="shared" si="29"/>
        <v>0</v>
      </c>
      <c r="P126" s="505">
        <f t="shared" si="30"/>
        <v>0</v>
      </c>
      <c r="Q126" s="244"/>
      <c r="R126" s="244"/>
      <c r="S126" s="244"/>
      <c r="T126" s="244"/>
      <c r="U126" s="244"/>
    </row>
    <row r="127" spans="2:21">
      <c r="B127" s="145" t="str">
        <f t="shared" si="25"/>
        <v/>
      </c>
      <c r="C127" s="496">
        <f>IF(D94="","-",+C126+1)</f>
        <v>2040</v>
      </c>
      <c r="D127" s="350">
        <f>IF(F126+SUM(E$100:E126)=D$93,F126,D$93-SUM(E$100:E126))</f>
        <v>1827793.4227703079</v>
      </c>
      <c r="E127" s="510">
        <f>IF(+J97&lt;F126,J97,D127)</f>
        <v>1156569.4295999999</v>
      </c>
      <c r="F127" s="511">
        <f t="shared" si="38"/>
        <v>671223.99317030795</v>
      </c>
      <c r="G127" s="511">
        <f t="shared" si="39"/>
        <v>1249508.7079703079</v>
      </c>
      <c r="H127" s="646">
        <f t="shared" si="40"/>
        <v>1303963.9922236297</v>
      </c>
      <c r="I127" s="573">
        <f t="shared" si="41"/>
        <v>1303963.9922236297</v>
      </c>
      <c r="J127" s="505">
        <f t="shared" si="31"/>
        <v>0</v>
      </c>
      <c r="K127" s="505"/>
      <c r="L127" s="513"/>
      <c r="M127" s="505">
        <f t="shared" si="42"/>
        <v>0</v>
      </c>
      <c r="N127" s="513"/>
      <c r="O127" s="505">
        <f t="shared" si="29"/>
        <v>0</v>
      </c>
      <c r="P127" s="505">
        <f t="shared" si="30"/>
        <v>0</v>
      </c>
      <c r="Q127" s="244"/>
      <c r="R127" s="244"/>
      <c r="S127" s="244"/>
      <c r="T127" s="244"/>
      <c r="U127" s="244"/>
    </row>
    <row r="128" spans="2:21">
      <c r="B128" s="145" t="str">
        <f t="shared" si="25"/>
        <v/>
      </c>
      <c r="C128" s="496">
        <f>IF(D94="","-",+C127+1)</f>
        <v>2041</v>
      </c>
      <c r="D128" s="350">
        <f>IF(F127+SUM(E$100:E127)=D$93,F127,D$93-SUM(E$100:E127))</f>
        <v>671223.99317030795</v>
      </c>
      <c r="E128" s="510">
        <f>IF(+J97&lt;F127,J97,D128)</f>
        <v>671223.99317030795</v>
      </c>
      <c r="F128" s="511">
        <f t="shared" si="38"/>
        <v>0</v>
      </c>
      <c r="G128" s="511">
        <f t="shared" si="39"/>
        <v>335611.99658515397</v>
      </c>
      <c r="H128" s="646">
        <f t="shared" si="40"/>
        <v>710813.4599202167</v>
      </c>
      <c r="I128" s="573">
        <f t="shared" si="41"/>
        <v>710813.4599202167</v>
      </c>
      <c r="J128" s="505">
        <f t="shared" si="31"/>
        <v>0</v>
      </c>
      <c r="K128" s="505"/>
      <c r="L128" s="513"/>
      <c r="M128" s="505">
        <f t="shared" si="42"/>
        <v>0</v>
      </c>
      <c r="N128" s="513"/>
      <c r="O128" s="505">
        <f t="shared" si="29"/>
        <v>0</v>
      </c>
      <c r="P128" s="505">
        <f t="shared" si="30"/>
        <v>0</v>
      </c>
      <c r="Q128" s="244"/>
      <c r="R128" s="244"/>
      <c r="S128" s="244"/>
      <c r="T128" s="244"/>
      <c r="U128" s="244"/>
    </row>
    <row r="129" spans="2:21">
      <c r="B129" s="145" t="str">
        <f t="shared" si="25"/>
        <v/>
      </c>
      <c r="C129" s="496">
        <f>IF(D94="","-",+C128+1)</f>
        <v>2042</v>
      </c>
      <c r="D129" s="350">
        <f>IF(F128+SUM(E$100:E128)=D$93,F128,D$93-SUM(E$100:E128))</f>
        <v>0</v>
      </c>
      <c r="E129" s="510">
        <f>IF(+J97&lt;F128,J97,D129)</f>
        <v>0</v>
      </c>
      <c r="F129" s="511">
        <f t="shared" si="38"/>
        <v>0</v>
      </c>
      <c r="G129" s="511">
        <f t="shared" si="39"/>
        <v>0</v>
      </c>
      <c r="H129" s="646">
        <f t="shared" si="40"/>
        <v>0</v>
      </c>
      <c r="I129" s="573">
        <f t="shared" si="41"/>
        <v>0</v>
      </c>
      <c r="J129" s="505">
        <f t="shared" si="31"/>
        <v>0</v>
      </c>
      <c r="K129" s="505"/>
      <c r="L129" s="513"/>
      <c r="M129" s="505">
        <f t="shared" si="42"/>
        <v>0</v>
      </c>
      <c r="N129" s="513"/>
      <c r="O129" s="505">
        <f t="shared" si="29"/>
        <v>0</v>
      </c>
      <c r="P129" s="505">
        <f t="shared" si="30"/>
        <v>0</v>
      </c>
      <c r="Q129" s="244"/>
      <c r="R129" s="244"/>
      <c r="S129" s="244"/>
      <c r="T129" s="244"/>
      <c r="U129" s="244"/>
    </row>
    <row r="130" spans="2:21">
      <c r="B130" s="145" t="str">
        <f t="shared" si="25"/>
        <v/>
      </c>
      <c r="C130" s="496">
        <f>IF(D94="","-",+C129+1)</f>
        <v>2043</v>
      </c>
      <c r="D130" s="350">
        <f>IF(F129+SUM(E$100:E129)=D$93,F129,D$93-SUM(E$100:E129))</f>
        <v>0</v>
      </c>
      <c r="E130" s="510">
        <f>IF(+J97&lt;F129,J97,D130)</f>
        <v>0</v>
      </c>
      <c r="F130" s="511">
        <f t="shared" si="38"/>
        <v>0</v>
      </c>
      <c r="G130" s="511">
        <f t="shared" si="39"/>
        <v>0</v>
      </c>
      <c r="H130" s="646">
        <f t="shared" si="40"/>
        <v>0</v>
      </c>
      <c r="I130" s="573">
        <f t="shared" si="41"/>
        <v>0</v>
      </c>
      <c r="J130" s="505">
        <f t="shared" si="31"/>
        <v>0</v>
      </c>
      <c r="K130" s="505"/>
      <c r="L130" s="513"/>
      <c r="M130" s="505">
        <f t="shared" si="42"/>
        <v>0</v>
      </c>
      <c r="N130" s="513"/>
      <c r="O130" s="505">
        <f t="shared" si="29"/>
        <v>0</v>
      </c>
      <c r="P130" s="505">
        <f t="shared" si="30"/>
        <v>0</v>
      </c>
      <c r="Q130" s="244"/>
      <c r="R130" s="244"/>
      <c r="S130" s="244"/>
      <c r="T130" s="244"/>
      <c r="U130" s="244"/>
    </row>
    <row r="131" spans="2:21">
      <c r="B131" s="145" t="str">
        <f t="shared" si="25"/>
        <v/>
      </c>
      <c r="C131" s="496">
        <f>IF(D94="","-",+C130+1)</f>
        <v>2044</v>
      </c>
      <c r="D131" s="350">
        <f>IF(F130+SUM(E$100:E130)=D$93,F130,D$93-SUM(E$100:E130))</f>
        <v>0</v>
      </c>
      <c r="E131" s="510">
        <f>IF(+J97&lt;F130,J97,D131)</f>
        <v>0</v>
      </c>
      <c r="F131" s="511">
        <f t="shared" si="38"/>
        <v>0</v>
      </c>
      <c r="G131" s="511">
        <f t="shared" si="39"/>
        <v>0</v>
      </c>
      <c r="H131" s="646">
        <f t="shared" si="40"/>
        <v>0</v>
      </c>
      <c r="I131" s="573">
        <f t="shared" si="41"/>
        <v>0</v>
      </c>
      <c r="J131" s="505">
        <f t="shared" si="31"/>
        <v>0</v>
      </c>
      <c r="K131" s="505"/>
      <c r="L131" s="513"/>
      <c r="M131" s="505">
        <f t="shared" si="42"/>
        <v>0</v>
      </c>
      <c r="N131" s="513"/>
      <c r="O131" s="505">
        <f t="shared" si="29"/>
        <v>0</v>
      </c>
      <c r="P131" s="505">
        <f t="shared" si="30"/>
        <v>0</v>
      </c>
      <c r="Q131" s="244"/>
      <c r="R131" s="244"/>
      <c r="S131" s="244"/>
      <c r="T131" s="244"/>
      <c r="U131" s="244"/>
    </row>
    <row r="132" spans="2:21">
      <c r="B132" s="145" t="str">
        <f t="shared" ref="B132:B155" si="43">IF(D132=F131,"","IU")</f>
        <v/>
      </c>
      <c r="C132" s="496">
        <f>IF(D94="","-",+C131+1)</f>
        <v>2045</v>
      </c>
      <c r="D132" s="350">
        <f>IF(F131+SUM(E$100:E131)=D$93,F131,D$93-SUM(E$100:E131))</f>
        <v>0</v>
      </c>
      <c r="E132" s="510">
        <f>IF(+J97&lt;F131,J97,D132)</f>
        <v>0</v>
      </c>
      <c r="F132" s="511">
        <f t="shared" si="38"/>
        <v>0</v>
      </c>
      <c r="G132" s="511">
        <f t="shared" ref="G132:G155" si="44">+(F132+D132)/2</f>
        <v>0</v>
      </c>
      <c r="H132" s="646">
        <f t="shared" si="40"/>
        <v>0</v>
      </c>
      <c r="I132" s="573">
        <f t="shared" ref="I132:I155" si="45">+J$96*G132+E132</f>
        <v>0</v>
      </c>
      <c r="J132" s="505">
        <f t="shared" ref="J132:J155" si="46">+I132-H132</f>
        <v>0</v>
      </c>
      <c r="K132" s="505"/>
      <c r="L132" s="513"/>
      <c r="M132" s="505">
        <f t="shared" ref="M132:M155" si="47">IF(L132&lt;&gt;0,+H132-L132,0)</f>
        <v>0</v>
      </c>
      <c r="N132" s="513"/>
      <c r="O132" s="505">
        <f t="shared" ref="O132:O155" si="48">IF(N132&lt;&gt;0,+I132-N132,0)</f>
        <v>0</v>
      </c>
      <c r="P132" s="505">
        <f t="shared" ref="P132:P155" si="49">+O132-M132</f>
        <v>0</v>
      </c>
      <c r="Q132" s="244"/>
      <c r="R132" s="244"/>
      <c r="S132" s="244"/>
      <c r="T132" s="244"/>
      <c r="U132" s="244"/>
    </row>
    <row r="133" spans="2:21">
      <c r="B133" s="145" t="str">
        <f t="shared" si="43"/>
        <v/>
      </c>
      <c r="C133" s="496">
        <f>IF(D94="","-",+C132+1)</f>
        <v>2046</v>
      </c>
      <c r="D133" s="350">
        <f>IF(F132+SUM(E$100:E132)=D$93,F132,D$93-SUM(E$100:E132))</f>
        <v>0</v>
      </c>
      <c r="E133" s="510">
        <f>IF(+J97&lt;F132,J97,D133)</f>
        <v>0</v>
      </c>
      <c r="F133" s="511">
        <f t="shared" ref="F133:F155" si="50">+D133-E133</f>
        <v>0</v>
      </c>
      <c r="G133" s="511">
        <f t="shared" si="44"/>
        <v>0</v>
      </c>
      <c r="H133" s="646">
        <f t="shared" si="40"/>
        <v>0</v>
      </c>
      <c r="I133" s="573">
        <f t="shared" si="45"/>
        <v>0</v>
      </c>
      <c r="J133" s="505">
        <f t="shared" si="46"/>
        <v>0</v>
      </c>
      <c r="K133" s="505"/>
      <c r="L133" s="513"/>
      <c r="M133" s="505">
        <f t="shared" si="47"/>
        <v>0</v>
      </c>
      <c r="N133" s="513"/>
      <c r="O133" s="505">
        <f t="shared" si="48"/>
        <v>0</v>
      </c>
      <c r="P133" s="505">
        <f t="shared" si="49"/>
        <v>0</v>
      </c>
      <c r="Q133" s="244"/>
      <c r="R133" s="244"/>
      <c r="S133" s="244"/>
      <c r="T133" s="244"/>
      <c r="U133" s="244"/>
    </row>
    <row r="134" spans="2:21">
      <c r="B134" s="145" t="str">
        <f t="shared" si="43"/>
        <v/>
      </c>
      <c r="C134" s="496">
        <f>IF(D94="","-",+C133+1)</f>
        <v>2047</v>
      </c>
      <c r="D134" s="350">
        <f>IF(F133+SUM(E$100:E133)=D$93,F133,D$93-SUM(E$100:E133))</f>
        <v>0</v>
      </c>
      <c r="E134" s="510">
        <f>IF(+J97&lt;F133,J97,D134)</f>
        <v>0</v>
      </c>
      <c r="F134" s="511">
        <f t="shared" si="50"/>
        <v>0</v>
      </c>
      <c r="G134" s="511">
        <f t="shared" si="44"/>
        <v>0</v>
      </c>
      <c r="H134" s="646">
        <f t="shared" si="40"/>
        <v>0</v>
      </c>
      <c r="I134" s="573">
        <f t="shared" si="45"/>
        <v>0</v>
      </c>
      <c r="J134" s="505">
        <f t="shared" si="46"/>
        <v>0</v>
      </c>
      <c r="K134" s="505"/>
      <c r="L134" s="513"/>
      <c r="M134" s="505">
        <f t="shared" si="47"/>
        <v>0</v>
      </c>
      <c r="N134" s="513"/>
      <c r="O134" s="505">
        <f t="shared" si="48"/>
        <v>0</v>
      </c>
      <c r="P134" s="505">
        <f t="shared" si="49"/>
        <v>0</v>
      </c>
      <c r="Q134" s="244"/>
      <c r="R134" s="244"/>
      <c r="S134" s="244"/>
      <c r="T134" s="244"/>
      <c r="U134" s="244"/>
    </row>
    <row r="135" spans="2:21">
      <c r="B135" s="145" t="str">
        <f t="shared" si="43"/>
        <v/>
      </c>
      <c r="C135" s="496">
        <f>IF(D94="","-",+C134+1)</f>
        <v>2048</v>
      </c>
      <c r="D135" s="350">
        <f>IF(F134+SUM(E$100:E134)=D$93,F134,D$93-SUM(E$100:E134))</f>
        <v>0</v>
      </c>
      <c r="E135" s="510">
        <f>IF(+J97&lt;F134,J97,D135)</f>
        <v>0</v>
      </c>
      <c r="F135" s="511">
        <f t="shared" si="50"/>
        <v>0</v>
      </c>
      <c r="G135" s="511">
        <f t="shared" si="44"/>
        <v>0</v>
      </c>
      <c r="H135" s="646">
        <f t="shared" si="40"/>
        <v>0</v>
      </c>
      <c r="I135" s="573">
        <f t="shared" si="45"/>
        <v>0</v>
      </c>
      <c r="J135" s="505">
        <f t="shared" si="46"/>
        <v>0</v>
      </c>
      <c r="K135" s="505"/>
      <c r="L135" s="513"/>
      <c r="M135" s="505">
        <f t="shared" si="47"/>
        <v>0</v>
      </c>
      <c r="N135" s="513"/>
      <c r="O135" s="505">
        <f t="shared" si="48"/>
        <v>0</v>
      </c>
      <c r="P135" s="505">
        <f t="shared" si="49"/>
        <v>0</v>
      </c>
      <c r="Q135" s="244"/>
      <c r="R135" s="244"/>
      <c r="S135" s="244"/>
      <c r="T135" s="244"/>
      <c r="U135" s="244"/>
    </row>
    <row r="136" spans="2:21">
      <c r="B136" s="145" t="str">
        <f t="shared" si="43"/>
        <v/>
      </c>
      <c r="C136" s="496">
        <f>IF(D94="","-",+C135+1)</f>
        <v>2049</v>
      </c>
      <c r="D136" s="350">
        <f>IF(F135+SUM(E$100:E135)=D$93,F135,D$93-SUM(E$100:E135))</f>
        <v>0</v>
      </c>
      <c r="E136" s="510">
        <f>IF(+J97&lt;F135,J97,D136)</f>
        <v>0</v>
      </c>
      <c r="F136" s="511">
        <f t="shared" si="50"/>
        <v>0</v>
      </c>
      <c r="G136" s="511">
        <f t="shared" si="44"/>
        <v>0</v>
      </c>
      <c r="H136" s="646">
        <f t="shared" si="40"/>
        <v>0</v>
      </c>
      <c r="I136" s="573">
        <f t="shared" si="45"/>
        <v>0</v>
      </c>
      <c r="J136" s="505">
        <f t="shared" si="46"/>
        <v>0</v>
      </c>
      <c r="K136" s="505"/>
      <c r="L136" s="513"/>
      <c r="M136" s="505">
        <f t="shared" si="47"/>
        <v>0</v>
      </c>
      <c r="N136" s="513"/>
      <c r="O136" s="505">
        <f t="shared" si="48"/>
        <v>0</v>
      </c>
      <c r="P136" s="505">
        <f t="shared" si="49"/>
        <v>0</v>
      </c>
      <c r="Q136" s="244"/>
      <c r="R136" s="244"/>
      <c r="S136" s="244"/>
      <c r="T136" s="244"/>
      <c r="U136" s="244"/>
    </row>
    <row r="137" spans="2:21">
      <c r="B137" s="145" t="str">
        <f t="shared" si="43"/>
        <v/>
      </c>
      <c r="C137" s="496">
        <f>IF(D94="","-",+C136+1)</f>
        <v>2050</v>
      </c>
      <c r="D137" s="350">
        <f>IF(F136+SUM(E$100:E136)=D$93,F136,D$93-SUM(E$100:E136))</f>
        <v>0</v>
      </c>
      <c r="E137" s="510">
        <f>IF(+J97&lt;F136,J97,D137)</f>
        <v>0</v>
      </c>
      <c r="F137" s="511">
        <f t="shared" si="50"/>
        <v>0</v>
      </c>
      <c r="G137" s="511">
        <f t="shared" si="44"/>
        <v>0</v>
      </c>
      <c r="H137" s="646">
        <f t="shared" si="40"/>
        <v>0</v>
      </c>
      <c r="I137" s="573">
        <f t="shared" si="45"/>
        <v>0</v>
      </c>
      <c r="J137" s="505">
        <f t="shared" si="46"/>
        <v>0</v>
      </c>
      <c r="K137" s="505"/>
      <c r="L137" s="513"/>
      <c r="M137" s="505">
        <f t="shared" si="47"/>
        <v>0</v>
      </c>
      <c r="N137" s="513"/>
      <c r="O137" s="505">
        <f t="shared" si="48"/>
        <v>0</v>
      </c>
      <c r="P137" s="505">
        <f t="shared" si="49"/>
        <v>0</v>
      </c>
      <c r="Q137" s="244"/>
      <c r="R137" s="244"/>
      <c r="S137" s="244"/>
      <c r="T137" s="244"/>
      <c r="U137" s="244"/>
    </row>
    <row r="138" spans="2:21">
      <c r="B138" s="145" t="str">
        <f t="shared" si="43"/>
        <v/>
      </c>
      <c r="C138" s="496">
        <f>IF(D94="","-",+C137+1)</f>
        <v>2051</v>
      </c>
      <c r="D138" s="350">
        <f>IF(F137+SUM(E$100:E137)=D$93,F137,D$93-SUM(E$100:E137))</f>
        <v>0</v>
      </c>
      <c r="E138" s="510">
        <f>IF(+J97&lt;F137,J97,D138)</f>
        <v>0</v>
      </c>
      <c r="F138" s="511">
        <f t="shared" si="50"/>
        <v>0</v>
      </c>
      <c r="G138" s="511">
        <f t="shared" si="44"/>
        <v>0</v>
      </c>
      <c r="H138" s="646">
        <f t="shared" si="40"/>
        <v>0</v>
      </c>
      <c r="I138" s="573">
        <f t="shared" si="45"/>
        <v>0</v>
      </c>
      <c r="J138" s="505">
        <f t="shared" si="46"/>
        <v>0</v>
      </c>
      <c r="K138" s="505"/>
      <c r="L138" s="513"/>
      <c r="M138" s="505">
        <f t="shared" si="47"/>
        <v>0</v>
      </c>
      <c r="N138" s="513"/>
      <c r="O138" s="505">
        <f t="shared" si="48"/>
        <v>0</v>
      </c>
      <c r="P138" s="505">
        <f t="shared" si="49"/>
        <v>0</v>
      </c>
      <c r="Q138" s="244"/>
      <c r="R138" s="244"/>
      <c r="S138" s="244"/>
      <c r="T138" s="244"/>
      <c r="U138" s="244"/>
    </row>
    <row r="139" spans="2:21">
      <c r="B139" s="145" t="str">
        <f t="shared" si="43"/>
        <v/>
      </c>
      <c r="C139" s="496">
        <f>IF(D94="","-",+C138+1)</f>
        <v>2052</v>
      </c>
      <c r="D139" s="350">
        <f>IF(F138+SUM(E$100:E138)=D$93,F138,D$93-SUM(E$100:E138))</f>
        <v>0</v>
      </c>
      <c r="E139" s="510">
        <f>IF(+J97&lt;F138,J97,D139)</f>
        <v>0</v>
      </c>
      <c r="F139" s="511">
        <f t="shared" si="50"/>
        <v>0</v>
      </c>
      <c r="G139" s="511">
        <f t="shared" si="44"/>
        <v>0</v>
      </c>
      <c r="H139" s="646">
        <f t="shared" si="40"/>
        <v>0</v>
      </c>
      <c r="I139" s="573">
        <f t="shared" si="45"/>
        <v>0</v>
      </c>
      <c r="J139" s="505">
        <f t="shared" si="46"/>
        <v>0</v>
      </c>
      <c r="K139" s="505"/>
      <c r="L139" s="513"/>
      <c r="M139" s="505">
        <f t="shared" si="47"/>
        <v>0</v>
      </c>
      <c r="N139" s="513"/>
      <c r="O139" s="505">
        <f t="shared" si="48"/>
        <v>0</v>
      </c>
      <c r="P139" s="505">
        <f t="shared" si="49"/>
        <v>0</v>
      </c>
      <c r="Q139" s="244"/>
      <c r="R139" s="244"/>
      <c r="S139" s="244"/>
      <c r="T139" s="244"/>
      <c r="U139" s="244"/>
    </row>
    <row r="140" spans="2:21">
      <c r="B140" s="145" t="str">
        <f t="shared" si="43"/>
        <v/>
      </c>
      <c r="C140" s="496">
        <f>IF(D94="","-",+C139+1)</f>
        <v>2053</v>
      </c>
      <c r="D140" s="350">
        <f>IF(F139+SUM(E$100:E139)=D$93,F139,D$93-SUM(E$100:E139))</f>
        <v>0</v>
      </c>
      <c r="E140" s="510">
        <f>IF(+J97&lt;F139,J97,D140)</f>
        <v>0</v>
      </c>
      <c r="F140" s="511">
        <f t="shared" si="50"/>
        <v>0</v>
      </c>
      <c r="G140" s="511">
        <f t="shared" si="44"/>
        <v>0</v>
      </c>
      <c r="H140" s="646">
        <f t="shared" si="40"/>
        <v>0</v>
      </c>
      <c r="I140" s="573">
        <f t="shared" si="45"/>
        <v>0</v>
      </c>
      <c r="J140" s="505">
        <f t="shared" si="46"/>
        <v>0</v>
      </c>
      <c r="K140" s="505"/>
      <c r="L140" s="513"/>
      <c r="M140" s="505">
        <f t="shared" si="47"/>
        <v>0</v>
      </c>
      <c r="N140" s="513"/>
      <c r="O140" s="505">
        <f t="shared" si="48"/>
        <v>0</v>
      </c>
      <c r="P140" s="505">
        <f t="shared" si="49"/>
        <v>0</v>
      </c>
      <c r="Q140" s="244"/>
      <c r="R140" s="244"/>
      <c r="S140" s="244"/>
      <c r="T140" s="244"/>
      <c r="U140" s="244"/>
    </row>
    <row r="141" spans="2:21">
      <c r="B141" s="145" t="str">
        <f t="shared" si="43"/>
        <v/>
      </c>
      <c r="C141" s="496">
        <f>IF(D94="","-",+C140+1)</f>
        <v>2054</v>
      </c>
      <c r="D141" s="350">
        <f>IF(F140+SUM(E$100:E140)=D$93,F140,D$93-SUM(E$100:E140))</f>
        <v>0</v>
      </c>
      <c r="E141" s="510">
        <f>IF(+J97&lt;F140,J97,D141)</f>
        <v>0</v>
      </c>
      <c r="F141" s="511">
        <f t="shared" si="50"/>
        <v>0</v>
      </c>
      <c r="G141" s="511">
        <f t="shared" si="44"/>
        <v>0</v>
      </c>
      <c r="H141" s="646">
        <f t="shared" si="40"/>
        <v>0</v>
      </c>
      <c r="I141" s="573">
        <f t="shared" si="45"/>
        <v>0</v>
      </c>
      <c r="J141" s="505">
        <f t="shared" si="46"/>
        <v>0</v>
      </c>
      <c r="K141" s="505"/>
      <c r="L141" s="513"/>
      <c r="M141" s="505">
        <f t="shared" si="47"/>
        <v>0</v>
      </c>
      <c r="N141" s="513"/>
      <c r="O141" s="505">
        <f t="shared" si="48"/>
        <v>0</v>
      </c>
      <c r="P141" s="505">
        <f t="shared" si="49"/>
        <v>0</v>
      </c>
      <c r="Q141" s="244"/>
      <c r="R141" s="244"/>
      <c r="S141" s="244"/>
      <c r="T141" s="244"/>
      <c r="U141" s="244"/>
    </row>
    <row r="142" spans="2:21">
      <c r="B142" s="145" t="str">
        <f t="shared" si="43"/>
        <v/>
      </c>
      <c r="C142" s="496">
        <f>IF(D94="","-",+C141+1)</f>
        <v>2055</v>
      </c>
      <c r="D142" s="350">
        <f>IF(F141+SUM(E$100:E141)=D$93,F141,D$93-SUM(E$100:E141))</f>
        <v>0</v>
      </c>
      <c r="E142" s="510">
        <f>IF(+J97&lt;F141,J97,D142)</f>
        <v>0</v>
      </c>
      <c r="F142" s="511">
        <f t="shared" si="50"/>
        <v>0</v>
      </c>
      <c r="G142" s="511">
        <f t="shared" si="44"/>
        <v>0</v>
      </c>
      <c r="H142" s="646">
        <f t="shared" si="40"/>
        <v>0</v>
      </c>
      <c r="I142" s="573">
        <f t="shared" si="45"/>
        <v>0</v>
      </c>
      <c r="J142" s="505">
        <f t="shared" si="46"/>
        <v>0</v>
      </c>
      <c r="K142" s="505"/>
      <c r="L142" s="513"/>
      <c r="M142" s="505">
        <f t="shared" si="47"/>
        <v>0</v>
      </c>
      <c r="N142" s="513"/>
      <c r="O142" s="505">
        <f t="shared" si="48"/>
        <v>0</v>
      </c>
      <c r="P142" s="505">
        <f t="shared" si="49"/>
        <v>0</v>
      </c>
      <c r="Q142" s="244"/>
      <c r="R142" s="244"/>
      <c r="S142" s="244"/>
      <c r="T142" s="244"/>
      <c r="U142" s="244"/>
    </row>
    <row r="143" spans="2:21">
      <c r="B143" s="145" t="str">
        <f t="shared" si="43"/>
        <v/>
      </c>
      <c r="C143" s="496">
        <f>IF(D94="","-",+C142+1)</f>
        <v>2056</v>
      </c>
      <c r="D143" s="350">
        <f>IF(F142+SUM(E$100:E142)=D$93,F142,D$93-SUM(E$100:E142))</f>
        <v>0</v>
      </c>
      <c r="E143" s="510">
        <f>IF(+J97&lt;F142,J97,D143)</f>
        <v>0</v>
      </c>
      <c r="F143" s="511">
        <f t="shared" si="50"/>
        <v>0</v>
      </c>
      <c r="G143" s="511">
        <f t="shared" si="44"/>
        <v>0</v>
      </c>
      <c r="H143" s="646">
        <f t="shared" si="40"/>
        <v>0</v>
      </c>
      <c r="I143" s="573">
        <f t="shared" si="45"/>
        <v>0</v>
      </c>
      <c r="J143" s="505">
        <f t="shared" si="46"/>
        <v>0</v>
      </c>
      <c r="K143" s="505"/>
      <c r="L143" s="513"/>
      <c r="M143" s="505">
        <f t="shared" si="47"/>
        <v>0</v>
      </c>
      <c r="N143" s="513"/>
      <c r="O143" s="505">
        <f t="shared" si="48"/>
        <v>0</v>
      </c>
      <c r="P143" s="505">
        <f t="shared" si="49"/>
        <v>0</v>
      </c>
      <c r="Q143" s="244"/>
      <c r="R143" s="244"/>
      <c r="S143" s="244"/>
      <c r="T143" s="244"/>
      <c r="U143" s="244"/>
    </row>
    <row r="144" spans="2:21">
      <c r="B144" s="145" t="str">
        <f t="shared" si="43"/>
        <v/>
      </c>
      <c r="C144" s="496">
        <f>IF(D94="","-",+C143+1)</f>
        <v>2057</v>
      </c>
      <c r="D144" s="350">
        <f>IF(F143+SUM(E$100:E143)=D$93,F143,D$93-SUM(E$100:E143))</f>
        <v>0</v>
      </c>
      <c r="E144" s="510">
        <f>IF(+J97&lt;F143,J97,D144)</f>
        <v>0</v>
      </c>
      <c r="F144" s="511">
        <f t="shared" si="50"/>
        <v>0</v>
      </c>
      <c r="G144" s="511">
        <f t="shared" si="44"/>
        <v>0</v>
      </c>
      <c r="H144" s="646">
        <f t="shared" si="40"/>
        <v>0</v>
      </c>
      <c r="I144" s="573">
        <f t="shared" si="45"/>
        <v>0</v>
      </c>
      <c r="J144" s="505">
        <f t="shared" si="46"/>
        <v>0</v>
      </c>
      <c r="K144" s="505"/>
      <c r="L144" s="513"/>
      <c r="M144" s="505">
        <f t="shared" si="47"/>
        <v>0</v>
      </c>
      <c r="N144" s="513"/>
      <c r="O144" s="505">
        <f t="shared" si="48"/>
        <v>0</v>
      </c>
      <c r="P144" s="505">
        <f t="shared" si="49"/>
        <v>0</v>
      </c>
      <c r="Q144" s="244"/>
      <c r="R144" s="244"/>
      <c r="S144" s="244"/>
      <c r="T144" s="244"/>
      <c r="U144" s="244"/>
    </row>
    <row r="145" spans="2:21">
      <c r="B145" s="145" t="str">
        <f t="shared" si="43"/>
        <v/>
      </c>
      <c r="C145" s="496">
        <f>IF(D94="","-",+C144+1)</f>
        <v>2058</v>
      </c>
      <c r="D145" s="350">
        <f>IF(F144+SUM(E$100:E144)=D$93,F144,D$93-SUM(E$100:E144))</f>
        <v>0</v>
      </c>
      <c r="E145" s="510">
        <f>IF(+J97&lt;F144,J97,D145)</f>
        <v>0</v>
      </c>
      <c r="F145" s="511">
        <f t="shared" si="50"/>
        <v>0</v>
      </c>
      <c r="G145" s="511">
        <f t="shared" si="44"/>
        <v>0</v>
      </c>
      <c r="H145" s="646">
        <f t="shared" si="40"/>
        <v>0</v>
      </c>
      <c r="I145" s="573">
        <f t="shared" si="45"/>
        <v>0</v>
      </c>
      <c r="J145" s="505">
        <f t="shared" si="46"/>
        <v>0</v>
      </c>
      <c r="K145" s="505"/>
      <c r="L145" s="513"/>
      <c r="M145" s="505">
        <f t="shared" si="47"/>
        <v>0</v>
      </c>
      <c r="N145" s="513"/>
      <c r="O145" s="505">
        <f t="shared" si="48"/>
        <v>0</v>
      </c>
      <c r="P145" s="505">
        <f t="shared" si="49"/>
        <v>0</v>
      </c>
      <c r="Q145" s="244"/>
      <c r="R145" s="244"/>
      <c r="S145" s="244"/>
      <c r="T145" s="244"/>
      <c r="U145" s="244"/>
    </row>
    <row r="146" spans="2:21">
      <c r="B146" s="145" t="str">
        <f t="shared" si="43"/>
        <v/>
      </c>
      <c r="C146" s="496">
        <f>IF(D94="","-",+C145+1)</f>
        <v>2059</v>
      </c>
      <c r="D146" s="350">
        <f>IF(F145+SUM(E$100:E145)=D$93,F145,D$93-SUM(E$100:E145))</f>
        <v>0</v>
      </c>
      <c r="E146" s="510">
        <f>IF(+J97&lt;F145,J97,D146)</f>
        <v>0</v>
      </c>
      <c r="F146" s="511">
        <f t="shared" si="50"/>
        <v>0</v>
      </c>
      <c r="G146" s="511">
        <f t="shared" si="44"/>
        <v>0</v>
      </c>
      <c r="H146" s="646">
        <f t="shared" si="40"/>
        <v>0</v>
      </c>
      <c r="I146" s="573">
        <f t="shared" si="45"/>
        <v>0</v>
      </c>
      <c r="J146" s="505">
        <f t="shared" si="46"/>
        <v>0</v>
      </c>
      <c r="K146" s="505"/>
      <c r="L146" s="513"/>
      <c r="M146" s="505">
        <f t="shared" si="47"/>
        <v>0</v>
      </c>
      <c r="N146" s="513"/>
      <c r="O146" s="505">
        <f t="shared" si="48"/>
        <v>0</v>
      </c>
      <c r="P146" s="505">
        <f t="shared" si="49"/>
        <v>0</v>
      </c>
      <c r="Q146" s="244"/>
      <c r="R146" s="244"/>
      <c r="S146" s="244"/>
      <c r="T146" s="244"/>
      <c r="U146" s="244"/>
    </row>
    <row r="147" spans="2:21">
      <c r="B147" s="145" t="str">
        <f t="shared" si="43"/>
        <v/>
      </c>
      <c r="C147" s="496">
        <f>IF(D94="","-",+C146+1)</f>
        <v>2060</v>
      </c>
      <c r="D147" s="350">
        <f>IF(F146+SUM(E$100:E146)=D$93,F146,D$93-SUM(E$100:E146))</f>
        <v>0</v>
      </c>
      <c r="E147" s="510">
        <f>IF(+J97&lt;F146,J97,D147)</f>
        <v>0</v>
      </c>
      <c r="F147" s="511">
        <f t="shared" si="50"/>
        <v>0</v>
      </c>
      <c r="G147" s="511">
        <f t="shared" si="44"/>
        <v>0</v>
      </c>
      <c r="H147" s="646">
        <f t="shared" si="40"/>
        <v>0</v>
      </c>
      <c r="I147" s="573">
        <f t="shared" si="45"/>
        <v>0</v>
      </c>
      <c r="J147" s="505">
        <f t="shared" si="46"/>
        <v>0</v>
      </c>
      <c r="K147" s="505"/>
      <c r="L147" s="513"/>
      <c r="M147" s="505">
        <f t="shared" si="47"/>
        <v>0</v>
      </c>
      <c r="N147" s="513"/>
      <c r="O147" s="505">
        <f t="shared" si="48"/>
        <v>0</v>
      </c>
      <c r="P147" s="505">
        <f t="shared" si="49"/>
        <v>0</v>
      </c>
      <c r="Q147" s="244"/>
      <c r="R147" s="244"/>
      <c r="S147" s="244"/>
      <c r="T147" s="244"/>
      <c r="U147" s="244"/>
    </row>
    <row r="148" spans="2:21">
      <c r="B148" s="145" t="str">
        <f t="shared" si="43"/>
        <v/>
      </c>
      <c r="C148" s="496">
        <f>IF(D94="","-",+C147+1)</f>
        <v>2061</v>
      </c>
      <c r="D148" s="350">
        <f>IF(F147+SUM(E$100:E147)=D$93,F147,D$93-SUM(E$100:E147))</f>
        <v>0</v>
      </c>
      <c r="E148" s="510">
        <f>IF(+J97&lt;F147,J97,D148)</f>
        <v>0</v>
      </c>
      <c r="F148" s="511">
        <f t="shared" si="50"/>
        <v>0</v>
      </c>
      <c r="G148" s="511">
        <f t="shared" si="44"/>
        <v>0</v>
      </c>
      <c r="H148" s="646">
        <f t="shared" si="40"/>
        <v>0</v>
      </c>
      <c r="I148" s="573">
        <f t="shared" si="45"/>
        <v>0</v>
      </c>
      <c r="J148" s="505">
        <f t="shared" si="46"/>
        <v>0</v>
      </c>
      <c r="K148" s="505"/>
      <c r="L148" s="513"/>
      <c r="M148" s="505">
        <f t="shared" si="47"/>
        <v>0</v>
      </c>
      <c r="N148" s="513"/>
      <c r="O148" s="505">
        <f t="shared" si="48"/>
        <v>0</v>
      </c>
      <c r="P148" s="505">
        <f t="shared" si="49"/>
        <v>0</v>
      </c>
      <c r="Q148" s="244"/>
      <c r="R148" s="244"/>
      <c r="S148" s="244"/>
      <c r="T148" s="244"/>
      <c r="U148" s="244"/>
    </row>
    <row r="149" spans="2:21">
      <c r="B149" s="145" t="str">
        <f t="shared" si="43"/>
        <v/>
      </c>
      <c r="C149" s="496">
        <f>IF(D94="","-",+C148+1)</f>
        <v>2062</v>
      </c>
      <c r="D149" s="350">
        <f>IF(F148+SUM(E$100:E148)=D$93,F148,D$93-SUM(E$100:E148))</f>
        <v>0</v>
      </c>
      <c r="E149" s="510">
        <f>IF(+J97&lt;F148,J97,D149)</f>
        <v>0</v>
      </c>
      <c r="F149" s="511">
        <f t="shared" si="50"/>
        <v>0</v>
      </c>
      <c r="G149" s="511">
        <f t="shared" si="44"/>
        <v>0</v>
      </c>
      <c r="H149" s="646">
        <f t="shared" si="40"/>
        <v>0</v>
      </c>
      <c r="I149" s="573">
        <f t="shared" si="45"/>
        <v>0</v>
      </c>
      <c r="J149" s="505">
        <f t="shared" si="46"/>
        <v>0</v>
      </c>
      <c r="K149" s="505"/>
      <c r="L149" s="513"/>
      <c r="M149" s="505">
        <f t="shared" si="47"/>
        <v>0</v>
      </c>
      <c r="N149" s="513"/>
      <c r="O149" s="505">
        <f t="shared" si="48"/>
        <v>0</v>
      </c>
      <c r="P149" s="505">
        <f t="shared" si="49"/>
        <v>0</v>
      </c>
      <c r="Q149" s="244"/>
      <c r="R149" s="244"/>
      <c r="S149" s="244"/>
      <c r="T149" s="244"/>
      <c r="U149" s="244"/>
    </row>
    <row r="150" spans="2:21">
      <c r="B150" s="145" t="str">
        <f t="shared" si="43"/>
        <v/>
      </c>
      <c r="C150" s="496">
        <f>IF(D94="","-",+C149+1)</f>
        <v>2063</v>
      </c>
      <c r="D150" s="350">
        <f>IF(F149+SUM(E$100:E149)=D$93,F149,D$93-SUM(E$100:E149))</f>
        <v>0</v>
      </c>
      <c r="E150" s="510">
        <f>IF(+J97&lt;F149,J97,D150)</f>
        <v>0</v>
      </c>
      <c r="F150" s="511">
        <f t="shared" si="50"/>
        <v>0</v>
      </c>
      <c r="G150" s="511">
        <f t="shared" si="44"/>
        <v>0</v>
      </c>
      <c r="H150" s="646">
        <f t="shared" si="40"/>
        <v>0</v>
      </c>
      <c r="I150" s="573">
        <f t="shared" si="45"/>
        <v>0</v>
      </c>
      <c r="J150" s="505">
        <f t="shared" si="46"/>
        <v>0</v>
      </c>
      <c r="K150" s="505"/>
      <c r="L150" s="513"/>
      <c r="M150" s="505">
        <f t="shared" si="47"/>
        <v>0</v>
      </c>
      <c r="N150" s="513"/>
      <c r="O150" s="505">
        <f t="shared" si="48"/>
        <v>0</v>
      </c>
      <c r="P150" s="505">
        <f t="shared" si="49"/>
        <v>0</v>
      </c>
      <c r="Q150" s="244"/>
      <c r="R150" s="244"/>
      <c r="S150" s="244"/>
      <c r="T150" s="244"/>
      <c r="U150" s="244"/>
    </row>
    <row r="151" spans="2:21">
      <c r="B151" s="145" t="str">
        <f t="shared" si="43"/>
        <v/>
      </c>
      <c r="C151" s="496">
        <f>IF(D94="","-",+C150+1)</f>
        <v>2064</v>
      </c>
      <c r="D151" s="350">
        <f>IF(F150+SUM(E$100:E150)=D$93,F150,D$93-SUM(E$100:E150))</f>
        <v>0</v>
      </c>
      <c r="E151" s="510">
        <f>IF(+J97&lt;F150,J97,D151)</f>
        <v>0</v>
      </c>
      <c r="F151" s="511">
        <f t="shared" si="50"/>
        <v>0</v>
      </c>
      <c r="G151" s="511">
        <f t="shared" si="44"/>
        <v>0</v>
      </c>
      <c r="H151" s="646">
        <f t="shared" si="40"/>
        <v>0</v>
      </c>
      <c r="I151" s="573">
        <f t="shared" si="45"/>
        <v>0</v>
      </c>
      <c r="J151" s="505">
        <f t="shared" si="46"/>
        <v>0</v>
      </c>
      <c r="K151" s="505"/>
      <c r="L151" s="513"/>
      <c r="M151" s="505">
        <f t="shared" si="47"/>
        <v>0</v>
      </c>
      <c r="N151" s="513"/>
      <c r="O151" s="505">
        <f t="shared" si="48"/>
        <v>0</v>
      </c>
      <c r="P151" s="505">
        <f t="shared" si="49"/>
        <v>0</v>
      </c>
      <c r="Q151" s="244"/>
      <c r="R151" s="244"/>
      <c r="S151" s="244"/>
      <c r="T151" s="244"/>
      <c r="U151" s="244"/>
    </row>
    <row r="152" spans="2:21">
      <c r="B152" s="145" t="str">
        <f t="shared" si="43"/>
        <v/>
      </c>
      <c r="C152" s="496">
        <f>IF(D94="","-",+C151+1)</f>
        <v>2065</v>
      </c>
      <c r="D152" s="350">
        <f>IF(F151+SUM(E$100:E151)=D$93,F151,D$93-SUM(E$100:E151))</f>
        <v>0</v>
      </c>
      <c r="E152" s="510">
        <f>IF(+J97&lt;F151,J97,D152)</f>
        <v>0</v>
      </c>
      <c r="F152" s="511">
        <f t="shared" si="50"/>
        <v>0</v>
      </c>
      <c r="G152" s="511">
        <f t="shared" si="44"/>
        <v>0</v>
      </c>
      <c r="H152" s="646">
        <f t="shared" si="40"/>
        <v>0</v>
      </c>
      <c r="I152" s="573">
        <f t="shared" si="45"/>
        <v>0</v>
      </c>
      <c r="J152" s="505">
        <f t="shared" si="46"/>
        <v>0</v>
      </c>
      <c r="K152" s="505"/>
      <c r="L152" s="513"/>
      <c r="M152" s="505">
        <f t="shared" si="47"/>
        <v>0</v>
      </c>
      <c r="N152" s="513"/>
      <c r="O152" s="505">
        <f t="shared" si="48"/>
        <v>0</v>
      </c>
      <c r="P152" s="505">
        <f t="shared" si="49"/>
        <v>0</v>
      </c>
      <c r="Q152" s="244"/>
      <c r="R152" s="244"/>
      <c r="S152" s="244"/>
      <c r="T152" s="244"/>
      <c r="U152" s="244"/>
    </row>
    <row r="153" spans="2:21">
      <c r="B153" s="145" t="str">
        <f t="shared" si="43"/>
        <v/>
      </c>
      <c r="C153" s="496">
        <f>IF(D94="","-",+C152+1)</f>
        <v>2066</v>
      </c>
      <c r="D153" s="350">
        <f>IF(F152+SUM(E$100:E152)=D$93,F152,D$93-SUM(E$100:E152))</f>
        <v>0</v>
      </c>
      <c r="E153" s="510">
        <f>IF(+J97&lt;F152,J97,D153)</f>
        <v>0</v>
      </c>
      <c r="F153" s="511">
        <f t="shared" si="50"/>
        <v>0</v>
      </c>
      <c r="G153" s="511">
        <f t="shared" si="44"/>
        <v>0</v>
      </c>
      <c r="H153" s="646">
        <f t="shared" si="40"/>
        <v>0</v>
      </c>
      <c r="I153" s="573">
        <f t="shared" si="45"/>
        <v>0</v>
      </c>
      <c r="J153" s="505">
        <f t="shared" si="46"/>
        <v>0</v>
      </c>
      <c r="K153" s="505"/>
      <c r="L153" s="513"/>
      <c r="M153" s="505">
        <f t="shared" si="47"/>
        <v>0</v>
      </c>
      <c r="N153" s="513"/>
      <c r="O153" s="505">
        <f t="shared" si="48"/>
        <v>0</v>
      </c>
      <c r="P153" s="505">
        <f t="shared" si="49"/>
        <v>0</v>
      </c>
      <c r="Q153" s="244"/>
      <c r="R153" s="244"/>
      <c r="S153" s="244"/>
      <c r="T153" s="244"/>
      <c r="U153" s="244"/>
    </row>
    <row r="154" spans="2:21">
      <c r="B154" s="145" t="str">
        <f t="shared" si="43"/>
        <v/>
      </c>
      <c r="C154" s="496">
        <f>IF(D94="","-",+C153+1)</f>
        <v>2067</v>
      </c>
      <c r="D154" s="350">
        <f>IF(F153+SUM(E$100:E153)=D$93,F153,D$93-SUM(E$100:E153))</f>
        <v>0</v>
      </c>
      <c r="E154" s="510">
        <f>IF(+J97&lt;F153,J97,D154)</f>
        <v>0</v>
      </c>
      <c r="F154" s="511">
        <f t="shared" si="50"/>
        <v>0</v>
      </c>
      <c r="G154" s="511">
        <f t="shared" si="44"/>
        <v>0</v>
      </c>
      <c r="H154" s="646">
        <f t="shared" si="40"/>
        <v>0</v>
      </c>
      <c r="I154" s="573">
        <f t="shared" si="45"/>
        <v>0</v>
      </c>
      <c r="J154" s="505">
        <f t="shared" si="46"/>
        <v>0</v>
      </c>
      <c r="K154" s="505"/>
      <c r="L154" s="513"/>
      <c r="M154" s="505">
        <f t="shared" si="47"/>
        <v>0</v>
      </c>
      <c r="N154" s="513"/>
      <c r="O154" s="505">
        <f t="shared" si="48"/>
        <v>0</v>
      </c>
      <c r="P154" s="505">
        <f t="shared" si="49"/>
        <v>0</v>
      </c>
      <c r="Q154" s="244"/>
      <c r="R154" s="244"/>
      <c r="S154" s="244"/>
      <c r="T154" s="244"/>
      <c r="U154" s="244"/>
    </row>
    <row r="155" spans="2:21" ht="13.5" thickBot="1">
      <c r="B155" s="145" t="str">
        <f t="shared" si="43"/>
        <v/>
      </c>
      <c r="C155" s="525">
        <f>IF(D94="","-",+C154+1)</f>
        <v>2068</v>
      </c>
      <c r="D155" s="528">
        <f>IF(F154+SUM(E$100:E154)=D$93,F154,D$93-SUM(E$100:E154))</f>
        <v>0</v>
      </c>
      <c r="E155" s="527">
        <f>IF(+J97&lt;F154,J97,D155)</f>
        <v>0</v>
      </c>
      <c r="F155" s="528">
        <f t="shared" si="50"/>
        <v>0</v>
      </c>
      <c r="G155" s="528">
        <f t="shared" si="44"/>
        <v>0</v>
      </c>
      <c r="H155" s="646">
        <f t="shared" si="40"/>
        <v>0</v>
      </c>
      <c r="I155" s="574">
        <f t="shared" si="45"/>
        <v>0</v>
      </c>
      <c r="J155" s="532">
        <f t="shared" si="46"/>
        <v>0</v>
      </c>
      <c r="K155" s="505"/>
      <c r="L155" s="531"/>
      <c r="M155" s="532">
        <f t="shared" si="47"/>
        <v>0</v>
      </c>
      <c r="N155" s="531"/>
      <c r="O155" s="532">
        <f t="shared" si="48"/>
        <v>0</v>
      </c>
      <c r="P155" s="532">
        <f t="shared" si="49"/>
        <v>0</v>
      </c>
      <c r="Q155" s="244"/>
      <c r="R155" s="244"/>
      <c r="S155" s="244"/>
      <c r="T155" s="244"/>
      <c r="U155" s="244"/>
    </row>
    <row r="156" spans="2:21">
      <c r="C156" s="350" t="s">
        <v>75</v>
      </c>
      <c r="D156" s="295"/>
      <c r="E156" s="295">
        <f>SUM(E100:E155)</f>
        <v>28914235.740000002</v>
      </c>
      <c r="F156" s="295"/>
      <c r="G156" s="295"/>
      <c r="H156" s="295">
        <f>SUM(H100:H155)</f>
        <v>78787636.743472561</v>
      </c>
      <c r="I156" s="295">
        <f>SUM(I100:I155)</f>
        <v>78787636.743472561</v>
      </c>
      <c r="J156" s="295">
        <f>SUM(J100:J155)</f>
        <v>0</v>
      </c>
      <c r="K156" s="295"/>
      <c r="L156" s="295"/>
      <c r="M156" s="295"/>
      <c r="N156" s="295"/>
      <c r="O156" s="295"/>
      <c r="P156" s="244"/>
      <c r="Q156" s="244"/>
      <c r="R156" s="244"/>
      <c r="S156" s="244"/>
      <c r="T156" s="244"/>
      <c r="U156" s="244"/>
    </row>
    <row r="157" spans="2:21">
      <c r="D157" s="293"/>
      <c r="E157" s="244"/>
      <c r="F157" s="244"/>
      <c r="G157" s="244"/>
      <c r="H157" s="244"/>
      <c r="I157" s="326"/>
      <c r="J157" s="326"/>
      <c r="K157" s="295"/>
      <c r="L157" s="326"/>
      <c r="M157" s="326"/>
      <c r="N157" s="326"/>
      <c r="O157" s="326"/>
      <c r="P157" s="244"/>
      <c r="Q157" s="244"/>
      <c r="R157" s="244"/>
      <c r="S157" s="244"/>
      <c r="T157" s="244"/>
      <c r="U157" s="244"/>
    </row>
    <row r="158" spans="2:21">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c r="D159" s="293"/>
      <c r="E159" s="244"/>
      <c r="F159" s="244"/>
      <c r="G159" s="244"/>
      <c r="H159" s="244"/>
      <c r="I159" s="326"/>
      <c r="J159" s="326"/>
      <c r="K159" s="295"/>
      <c r="L159" s="326"/>
      <c r="M159" s="326"/>
      <c r="N159" s="326"/>
      <c r="O159" s="326"/>
      <c r="P159" s="244"/>
      <c r="Q159" s="244"/>
      <c r="R159" s="244"/>
      <c r="S159" s="244"/>
      <c r="T159" s="244"/>
      <c r="U159" s="244"/>
    </row>
    <row r="160" spans="2:21">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8">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0" priority="1" stopIfTrue="1" operator="equal">
      <formula>$I$10</formula>
    </cfRule>
  </conditionalFormatting>
  <conditionalFormatting sqref="C100:C155">
    <cfRule type="cellIs" dxfId="39"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c3MDQwPC9Vc2VyTmFtZT48RGF0ZVRpbWU+My84LzIwMjIgMTozNjowOCBQTTwvRGF0ZVRpbWU+PExhYmVsU3RyaW5nPkFFUCBJbnRlcm5hbDwvTGFiZWxTdHJpbmc+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PC9zaXNsPjxVc2VyTmFtZT5DT1JQXHMxNzcwNDA8L1VzZXJOYW1lPjxEYXRlVGltZT41LzI0LzIwMjIgMzozNDowNSBQTTwvRGF0ZVRpbWU+PExhYmVsU3RyaW5nPkFFUCBJbnRlcm5hbD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CE95FE1-785C-4575-8E3E-18CE05BD8EF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EC1FC98-2CE5-428B-B501-A5E5AD1C0B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OKT.020</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
  <cp:lastModifiedBy>s177040</cp:lastModifiedBy>
  <cp:lastPrinted>2019-04-10T12:36:50Z</cp:lastPrinted>
  <dcterms:created xsi:type="dcterms:W3CDTF">2009-05-11T14:02:48Z</dcterms:created>
  <dcterms:modified xsi:type="dcterms:W3CDTF">2022-05-27T21:39:26Z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fdf90a27-ae33-44c3-97c2-34c0498a6fd2</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LabelHistoryID">
    <vt:lpwstr>{FCE95FE1-785C-4575-8E3E-18CE05BD8EF1}</vt:lpwstr>
  </property>
</Properties>
</file>